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03. sjednica UV\"/>
    </mc:Choice>
  </mc:AlternateContent>
  <xr:revisionPtr revIDLastSave="0" documentId="13_ncr:1_{866EE89B-99F1-4A98-BF70-5F802194592E}" xr6:coauthVersionLast="47" xr6:coauthVersionMax="47" xr10:uidLastSave="{00000000-0000-0000-0000-000000000000}"/>
  <bookViews>
    <workbookView xWindow="-120" yWindow="-120" windowWidth="29040" windowHeight="15720" tabRatio="386" firstSheet="2" activeTab="4" xr2:uid="{00000000-000D-0000-FFFF-FFFF00000000}"/>
  </bookViews>
  <sheets>
    <sheet name="SAŽETAK" sheetId="1" r:id="rId1"/>
    <sheet name=" Račun prihoda i rashoda-EKOM" sheetId="3" r:id="rId2"/>
    <sheet name="Račun prihoda i rashoda-IZVORI" sheetId="8" r:id="rId3"/>
    <sheet name="Rashodi prema funkcijskoj kl" sheetId="5" r:id="rId4"/>
    <sheet name="POSEBNI DIO" sheetId="7" r:id="rId5"/>
  </sheets>
  <definedNames>
    <definedName name="_xlnm.Print_Area" localSheetId="1">' Račun prihoda i rashoda-EKOM'!$A$1:$K$94</definedName>
    <definedName name="_xlnm.Print_Area" localSheetId="4">'POSEBNI DIO'!$A$1:$M$68</definedName>
    <definedName name="_xlnm.Print_Area" localSheetId="2">'Račun prihoda i rashoda-IZVORI'!$A$1:$K$49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8" l="1"/>
  <c r="I41" i="8"/>
  <c r="I40" i="8"/>
  <c r="J14" i="8"/>
  <c r="F9" i="7"/>
  <c r="K31" i="7"/>
  <c r="K32" i="7"/>
  <c r="K33" i="7"/>
  <c r="I40" i="3"/>
  <c r="F10" i="3"/>
  <c r="E11" i="3"/>
  <c r="G17" i="1" l="1"/>
  <c r="H17" i="1"/>
  <c r="J17" i="1"/>
  <c r="L17" i="1"/>
  <c r="G40" i="8"/>
  <c r="J38" i="1"/>
  <c r="I8" i="7"/>
  <c r="I7" i="7"/>
  <c r="I6" i="7"/>
  <c r="I31" i="7"/>
  <c r="I32" i="7"/>
  <c r="I33" i="7"/>
  <c r="K8" i="7"/>
  <c r="K7" i="7" s="1"/>
  <c r="K6" i="7" s="1"/>
  <c r="G48" i="7"/>
  <c r="F39" i="7"/>
  <c r="K47" i="7"/>
  <c r="K48" i="7"/>
  <c r="I48" i="7"/>
  <c r="I47" i="7" s="1"/>
  <c r="K52" i="7"/>
  <c r="I52" i="7"/>
  <c r="G52" i="7"/>
  <c r="K34" i="7"/>
  <c r="I34" i="7"/>
  <c r="G34" i="7"/>
  <c r="K21" i="7"/>
  <c r="K24" i="7"/>
  <c r="I24" i="7"/>
  <c r="I22" i="7" s="1"/>
  <c r="I21" i="7" s="1"/>
  <c r="G23" i="7"/>
  <c r="G22" i="7" s="1"/>
  <c r="G28" i="7"/>
  <c r="G27" i="7" s="1"/>
  <c r="F60" i="7"/>
  <c r="F52" i="7"/>
  <c r="E56" i="7"/>
  <c r="E48" i="7"/>
  <c r="E52" i="7"/>
  <c r="E29" i="7"/>
  <c r="E28" i="7" s="1"/>
  <c r="E27" i="7" s="1"/>
  <c r="E24" i="7"/>
  <c r="E23" i="7" s="1"/>
  <c r="E22" i="7" s="1"/>
  <c r="F11" i="7"/>
  <c r="F13" i="7"/>
  <c r="F18" i="7"/>
  <c r="F16" i="7" s="1"/>
  <c r="E18" i="7"/>
  <c r="E17" i="7" s="1"/>
  <c r="E16" i="7" s="1"/>
  <c r="E13" i="7"/>
  <c r="E12" i="7" s="1"/>
  <c r="E11" i="7" s="1"/>
  <c r="J44" i="8"/>
  <c r="I32" i="8"/>
  <c r="I33" i="8"/>
  <c r="J33" i="8" s="1"/>
  <c r="I34" i="8"/>
  <c r="J34" i="8" s="1"/>
  <c r="I36" i="8"/>
  <c r="J36" i="8" s="1"/>
  <c r="J35" i="8" s="1"/>
  <c r="I37" i="8"/>
  <c r="I42" i="8"/>
  <c r="J42" i="8" s="1"/>
  <c r="I43" i="8"/>
  <c r="F28" i="8"/>
  <c r="E48" i="8"/>
  <c r="E45" i="8"/>
  <c r="F40" i="8"/>
  <c r="E40" i="8"/>
  <c r="G35" i="8"/>
  <c r="F35" i="8"/>
  <c r="E35" i="8"/>
  <c r="G31" i="8"/>
  <c r="F31" i="8"/>
  <c r="E31" i="8"/>
  <c r="E28" i="8"/>
  <c r="G14" i="8"/>
  <c r="I14" i="8"/>
  <c r="J12" i="8"/>
  <c r="I12" i="8"/>
  <c r="J17" i="8"/>
  <c r="I17" i="8"/>
  <c r="G10" i="8"/>
  <c r="G12" i="8"/>
  <c r="G9" i="8" s="1"/>
  <c r="G17" i="8"/>
  <c r="F17" i="8"/>
  <c r="F14" i="8"/>
  <c r="F12" i="8"/>
  <c r="F10" i="8"/>
  <c r="E17" i="8"/>
  <c r="E22" i="8"/>
  <c r="E20" i="8"/>
  <c r="E14" i="8"/>
  <c r="E12" i="8"/>
  <c r="E10" i="8"/>
  <c r="J40" i="8" l="1"/>
  <c r="G47" i="7"/>
  <c r="G40" i="7" s="1"/>
  <c r="G39" i="7" s="1"/>
  <c r="G9" i="7" s="1"/>
  <c r="G8" i="7"/>
  <c r="G7" i="7" s="1"/>
  <c r="G6" i="7" s="1"/>
  <c r="E9" i="8"/>
  <c r="G27" i="8"/>
  <c r="F27" i="8"/>
  <c r="E27" i="8"/>
  <c r="J31" i="8"/>
  <c r="J27" i="8" s="1"/>
  <c r="I35" i="8"/>
  <c r="I31" i="8"/>
  <c r="I23" i="7"/>
  <c r="G21" i="7"/>
  <c r="E47" i="7"/>
  <c r="E10" i="7"/>
  <c r="F10" i="7"/>
  <c r="E21" i="7"/>
  <c r="F17" i="7"/>
  <c r="I9" i="8"/>
  <c r="J9" i="8"/>
  <c r="F9" i="8"/>
  <c r="E9" i="7" l="1"/>
  <c r="E8" i="7" s="1"/>
  <c r="E7" i="7" s="1"/>
  <c r="E6" i="7" s="1"/>
  <c r="J39" i="1" l="1"/>
  <c r="J16" i="3" l="1"/>
  <c r="J15" i="3" s="1"/>
  <c r="J28" i="3"/>
  <c r="J61" i="3"/>
  <c r="J71" i="3"/>
  <c r="J55" i="3"/>
  <c r="J59" i="3"/>
  <c r="J69" i="3"/>
  <c r="J73" i="3"/>
  <c r="J79" i="3"/>
  <c r="I42" i="3"/>
  <c r="J42" i="3" s="1"/>
  <c r="I45" i="3"/>
  <c r="I44" i="3" s="1"/>
  <c r="I47" i="3"/>
  <c r="I46" i="3" s="1"/>
  <c r="I51" i="3"/>
  <c r="I53" i="3"/>
  <c r="J53" i="3" s="1"/>
  <c r="I57" i="3"/>
  <c r="J57" i="3" s="1"/>
  <c r="I56" i="3"/>
  <c r="J56" i="3" s="1"/>
  <c r="I55" i="3"/>
  <c r="I70" i="3"/>
  <c r="J70" i="3" s="1"/>
  <c r="I69" i="3"/>
  <c r="I65" i="3"/>
  <c r="J65" i="3" s="1"/>
  <c r="I63" i="3"/>
  <c r="J63" i="3" s="1"/>
  <c r="I62" i="3"/>
  <c r="I75" i="3"/>
  <c r="I76" i="3"/>
  <c r="J76" i="3" s="1"/>
  <c r="I74" i="3"/>
  <c r="I73" i="3"/>
  <c r="I72" i="3"/>
  <c r="J72" i="3" s="1"/>
  <c r="I80" i="3"/>
  <c r="J80" i="3" s="1"/>
  <c r="I79" i="3"/>
  <c r="I78" i="3" s="1"/>
  <c r="I77" i="3" s="1"/>
  <c r="I87" i="3"/>
  <c r="I84" i="3"/>
  <c r="I83" i="3" s="1"/>
  <c r="I82" i="3" s="1"/>
  <c r="I81" i="3" s="1"/>
  <c r="I37" i="3" s="1"/>
  <c r="I28" i="3"/>
  <c r="I27" i="3" s="1"/>
  <c r="I26" i="3" s="1"/>
  <c r="I29" i="3"/>
  <c r="J29" i="3" s="1"/>
  <c r="I16" i="3"/>
  <c r="I15" i="3" s="1"/>
  <c r="I19" i="3"/>
  <c r="I18" i="3" s="1"/>
  <c r="I23" i="3"/>
  <c r="I22" i="3" s="1"/>
  <c r="I21" i="3" s="1"/>
  <c r="G16" i="3"/>
  <c r="G19" i="3"/>
  <c r="G18" i="3" s="1"/>
  <c r="G22" i="3"/>
  <c r="G21" i="3" s="1"/>
  <c r="G27" i="3"/>
  <c r="G26" i="3" s="1"/>
  <c r="F11" i="3"/>
  <c r="F16" i="3"/>
  <c r="F15" i="3" s="1"/>
  <c r="F19" i="3"/>
  <c r="F18" i="3" s="1"/>
  <c r="F22" i="3"/>
  <c r="F21" i="3" s="1"/>
  <c r="F24" i="3"/>
  <c r="F27" i="3"/>
  <c r="F26" i="3" s="1"/>
  <c r="E61" i="3"/>
  <c r="G83" i="3"/>
  <c r="G82" i="3" s="1"/>
  <c r="G81" i="3" s="1"/>
  <c r="F83" i="3"/>
  <c r="F89" i="3"/>
  <c r="F92" i="3"/>
  <c r="F91" i="3" s="1"/>
  <c r="E92" i="3"/>
  <c r="E91" i="3" s="1"/>
  <c r="E83" i="3"/>
  <c r="E82" i="3" s="1"/>
  <c r="G78" i="3"/>
  <c r="G77" i="3" s="1"/>
  <c r="F78" i="3"/>
  <c r="F77" i="3" s="1"/>
  <c r="E78" i="3"/>
  <c r="E77" i="3" s="1"/>
  <c r="G71" i="3"/>
  <c r="F71" i="3"/>
  <c r="E71" i="3"/>
  <c r="F61" i="3"/>
  <c r="G61" i="3"/>
  <c r="G54" i="3"/>
  <c r="G48" i="3" s="1"/>
  <c r="F54" i="3"/>
  <c r="E54" i="3"/>
  <c r="G49" i="3"/>
  <c r="F49" i="3"/>
  <c r="E49" i="3"/>
  <c r="F46" i="3"/>
  <c r="F44" i="3"/>
  <c r="F40" i="3"/>
  <c r="G46" i="3"/>
  <c r="E46" i="3"/>
  <c r="G40" i="3"/>
  <c r="G44" i="3"/>
  <c r="E44" i="3"/>
  <c r="E40" i="3"/>
  <c r="J83" i="3" l="1"/>
  <c r="J82" i="3" s="1"/>
  <c r="J81" i="3" s="1"/>
  <c r="J78" i="3"/>
  <c r="J77" i="3" s="1"/>
  <c r="J54" i="3"/>
  <c r="I54" i="3"/>
  <c r="I49" i="3"/>
  <c r="F39" i="3"/>
  <c r="F38" i="3" s="1"/>
  <c r="F37" i="3" s="1"/>
  <c r="F48" i="3"/>
  <c r="J23" i="3"/>
  <c r="J22" i="3" s="1"/>
  <c r="J21" i="3" s="1"/>
  <c r="I71" i="3"/>
  <c r="J47" i="3"/>
  <c r="J46" i="3" s="1"/>
  <c r="J45" i="3"/>
  <c r="J44" i="3" s="1"/>
  <c r="J19" i="3"/>
  <c r="J18" i="3" s="1"/>
  <c r="J10" i="3" s="1"/>
  <c r="I61" i="3"/>
  <c r="I48" i="3" s="1"/>
  <c r="J62" i="3"/>
  <c r="J51" i="3"/>
  <c r="J49" i="3" s="1"/>
  <c r="J40" i="3"/>
  <c r="G10" i="3"/>
  <c r="I39" i="3"/>
  <c r="I10" i="3"/>
  <c r="E39" i="3"/>
  <c r="J27" i="3"/>
  <c r="J26" i="3" s="1"/>
  <c r="G39" i="3"/>
  <c r="G38" i="3" s="1"/>
  <c r="G37" i="3" s="1"/>
  <c r="F82" i="3"/>
  <c r="F81" i="3" s="1"/>
  <c r="E81" i="3"/>
  <c r="E48" i="3"/>
  <c r="E38" i="3" s="1"/>
  <c r="E19" i="3"/>
  <c r="E27" i="3"/>
  <c r="E26" i="3" s="1"/>
  <c r="E24" i="3"/>
  <c r="E22" i="3"/>
  <c r="L15" i="1"/>
  <c r="L14" i="1" s="1"/>
  <c r="J14" i="1"/>
  <c r="L11" i="1"/>
  <c r="J16" i="1"/>
  <c r="H11" i="1"/>
  <c r="H14" i="1"/>
  <c r="G14" i="1"/>
  <c r="G11" i="1"/>
  <c r="I38" i="3" l="1"/>
  <c r="J39" i="3"/>
  <c r="J48" i="3"/>
  <c r="E37" i="3"/>
  <c r="E21" i="3"/>
  <c r="J38" i="3" l="1"/>
  <c r="J37" i="3" s="1"/>
  <c r="E13" i="3" l="1"/>
  <c r="E12" i="3" s="1"/>
  <c r="F17" i="1"/>
  <c r="F14" i="1"/>
  <c r="F11" i="1"/>
  <c r="C9" i="5"/>
  <c r="C8" i="5" s="1"/>
  <c r="G17" i="7"/>
  <c r="G18" i="7"/>
  <c r="G16" i="7" s="1"/>
  <c r="G13" i="7"/>
  <c r="E9" i="5"/>
  <c r="E8" i="5" s="1"/>
  <c r="F42" i="7"/>
  <c r="F24" i="7"/>
  <c r="F56" i="7"/>
  <c r="F55" i="7" s="1"/>
  <c r="F34" i="7"/>
  <c r="F33" i="7" s="1"/>
  <c r="F9" i="5"/>
  <c r="F8" i="5" s="1"/>
  <c r="D9" i="5"/>
  <c r="B9" i="5"/>
  <c r="F41" i="7" l="1"/>
  <c r="E15" i="3"/>
  <c r="B8" i="5" l="1"/>
  <c r="G12" i="7"/>
  <c r="G11" i="7" s="1"/>
  <c r="E18" i="3" l="1"/>
  <c r="F48" i="7" l="1"/>
  <c r="F32" i="7"/>
  <c r="F31" i="7" s="1"/>
  <c r="F27" i="7"/>
  <c r="F23" i="7"/>
  <c r="F22" i="7" s="1"/>
  <c r="F47" i="7" l="1"/>
  <c r="F40" i="7" s="1"/>
  <c r="F21" i="7"/>
  <c r="F8" i="7" s="1"/>
  <c r="F7" i="7" s="1"/>
  <c r="F6" i="7" s="1"/>
</calcChain>
</file>

<file path=xl/sharedStrings.xml><?xml version="1.0" encoding="utf-8"?>
<sst xmlns="http://schemas.openxmlformats.org/spreadsheetml/2006/main" count="331" uniqueCount="225">
  <si>
    <t>PRIHODI UKUPNO</t>
  </si>
  <si>
    <t>RASHODI UKUPNO</t>
  </si>
  <si>
    <t>PRIMICI OD FINANCIJSKE IMOVINE I ZADUŽIVANJA</t>
  </si>
  <si>
    <t>IZDACI ZA FINANCIJSKU IMOVINU I OTPLATE ZAJMOVA</t>
  </si>
  <si>
    <t>NETO FINANCIRANJE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</si>
  <si>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</si>
  <si>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</si>
  <si>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</si>
  <si>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</si>
  <si>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</si>
  <si>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</si>
  <si>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</si>
  <si>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</si>
  <si>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</si>
  <si>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</si>
  <si>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</si>
  <si>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</si>
  <si>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</si>
  <si>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</si>
  <si>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</si>
  <si>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Prihodi iz nadležnog proračuna i od HZZO-a temeljem ugovornih obveza</t>
  </si>
  <si>
    <t>Ostali prihodi za posebne namjene</t>
  </si>
  <si>
    <t>Rashodi za nabavu proizvedene dugotrajne imovine</t>
  </si>
  <si>
    <t>Razdjel 003</t>
  </si>
  <si>
    <t>Upravni odjel za zdravstvo, socijalnu skrb i hrvatske branitelje</t>
  </si>
  <si>
    <t>Glava 00305</t>
  </si>
  <si>
    <t>Ustanove socijalne skrbi</t>
  </si>
  <si>
    <t>Podglava 19940</t>
  </si>
  <si>
    <t>Dom za starije i nemoćne osobe Petrinja</t>
  </si>
  <si>
    <t>Glavni program A03</t>
  </si>
  <si>
    <t>PROGRAM 1004</t>
  </si>
  <si>
    <t>Program javnih potreba u socijalnoj skrbi</t>
  </si>
  <si>
    <t>Aktivnost A100012</t>
  </si>
  <si>
    <t>Izdaci za domove socijalne skrbi / zakonski standard</t>
  </si>
  <si>
    <t>Aktivnost A100026</t>
  </si>
  <si>
    <t>Potres</t>
  </si>
  <si>
    <t>PROGRAM 1005</t>
  </si>
  <si>
    <t>Minimalni financijski standard u socijalnoj skrbi</t>
  </si>
  <si>
    <t>Aktivnost A100004</t>
  </si>
  <si>
    <t>Redovna djelatnost / minimalni financijski standard</t>
  </si>
  <si>
    <t>Kapitalni projekt K100003</t>
  </si>
  <si>
    <t>Ulaganje u objekte socijalne skrbi</t>
  </si>
  <si>
    <t xml:space="preserve">Opci prihodi domova za starije i nemoćne </t>
  </si>
  <si>
    <t>PROGRAM 1006</t>
  </si>
  <si>
    <t>Program iznad zakonskog standarda DZSIN</t>
  </si>
  <si>
    <t>Aktivnost A100001</t>
  </si>
  <si>
    <t>Pružanje usluga drugim ustanovama socijalne skrbi</t>
  </si>
  <si>
    <t>PROGRAM 1007</t>
  </si>
  <si>
    <t xml:space="preserve">Redovna djelatnost ustanova socijalne skrbi </t>
  </si>
  <si>
    <t xml:space="preserve">Redovna djelatnost </t>
  </si>
  <si>
    <t>Prihodi za posebne namjene - PK</t>
  </si>
  <si>
    <t>Financijski rashodi</t>
  </si>
  <si>
    <t>Rashodi za dodatna ulaganja na nefinancijskoj imovini</t>
  </si>
  <si>
    <t>Kapitalni projekt K100005</t>
  </si>
  <si>
    <t>KAPITALNI RASHODI</t>
  </si>
  <si>
    <t>Prihodi od naknade štete od osiguranja PK</t>
  </si>
  <si>
    <t>10 Socijalna zaštita</t>
  </si>
  <si>
    <t>102 Starost</t>
  </si>
  <si>
    <t>Prihodi od imovine</t>
  </si>
  <si>
    <t>Kapitalne donacije</t>
  </si>
  <si>
    <t>Izvor financiranja 1.5.</t>
  </si>
  <si>
    <t>Izvor financiranja 1.1.</t>
  </si>
  <si>
    <t>Izvor financiranja 4.3.</t>
  </si>
  <si>
    <t>1.1.</t>
  </si>
  <si>
    <t>1.5.</t>
  </si>
  <si>
    <t>Opći prihodi domovi za starije i nemoćne-potres</t>
  </si>
  <si>
    <t>Opći prihodi domovi za starije i nemoćne-mini.fin.stand.</t>
  </si>
  <si>
    <t>Prihodi od administrativnih pristojbi i po poseb. propisima</t>
  </si>
  <si>
    <t>Pomoći iz inoz. i od subjekata unutar općeg proračuna</t>
  </si>
  <si>
    <t>Djelatnost UO za zdravstvo, socijalnu skrb i hrvatske branitelje</t>
  </si>
  <si>
    <t>6 PRIHODI POSLOVANJA</t>
  </si>
  <si>
    <t>3 RASHODI  POSLOVANJA</t>
  </si>
  <si>
    <t>7 PRIHODI OD PRODAJE NEFINANCIJSKE IMOVINE</t>
  </si>
  <si>
    <t>4 RASHODI ZA NABAVU NEFINANCIJSKE IMOVINE</t>
  </si>
  <si>
    <t>RAZLIKA -  MANJAK</t>
  </si>
  <si>
    <t>PROJEKCIJA 2027</t>
  </si>
  <si>
    <t>Pomoći od izvanproračunskih korisnika</t>
  </si>
  <si>
    <t>Pomoći HZZ-PK</t>
  </si>
  <si>
    <t>Izvor financiranja 5.2.</t>
  </si>
  <si>
    <t>Rashodi polsovanja</t>
  </si>
  <si>
    <t>FINANCIJSKI PLAN DOMA ZA STARIJE OSOBE PETRINJA ZA 2025. I PROJEKCIJA ZA 2026 I 2027. GODINU</t>
  </si>
  <si>
    <t xml:space="preserve">IZVRŠENJE </t>
  </si>
  <si>
    <t xml:space="preserve">TEKUĆI PLAN </t>
  </si>
  <si>
    <t xml:space="preserve">PLAN </t>
  </si>
  <si>
    <t>PROJEKCIJA</t>
  </si>
  <si>
    <t xml:space="preserve">PROJEKCIJA </t>
  </si>
  <si>
    <t xml:space="preserve">C) PRENESENI VIŠAK ILI PRENESENI MANJAK </t>
  </si>
  <si>
    <t>D) VIŠEGODIŠNJI PLAN URAVNOTEŽENJA</t>
  </si>
  <si>
    <t>PRIJENOS MANJKA U SLJEDEĆE RAZDOBLJE</t>
  </si>
  <si>
    <t xml:space="preserve">MANJAK + NETO FINANCIRANJE+PRIJENOS MANJKA IZ PRETHODE GODINE-PRIJENOS MANJAK U SLJEDEĆE RAZDOBLJE </t>
  </si>
  <si>
    <t>TRENUTNI PLAN</t>
  </si>
  <si>
    <t>UKUPNO PRIHODI</t>
  </si>
  <si>
    <t>NAZIV PRIHODA</t>
  </si>
  <si>
    <t>A.1 RAČUN PRIHODA I RASHODA PREMA EKONOMSKOJ KLASIFIKACIJI</t>
  </si>
  <si>
    <t>A2. RAČUN PRIHODA I RASHODA PREMA IZVORIMA FINANCIRANJA</t>
  </si>
  <si>
    <t>FINANCIJSKI PLAN DOMA ZA STARIJE OSOBE PETRINJA ZA 2026. I PROJEKCIJA ZA 2027. I 2028. GODINA</t>
  </si>
  <si>
    <t>PRIJEDLOG str.1</t>
  </si>
  <si>
    <t>FINANCIJSKI PLAN DOMA ZA STARIJE OSOBE PETRINJA ZA 2026. I PROJEKCIJA ZA 2027. I 2028. GODINU</t>
  </si>
  <si>
    <t>A. RAČUN PRIHODA I RASHODA</t>
  </si>
  <si>
    <t>PRIJEDLOG str2.</t>
  </si>
  <si>
    <t xml:space="preserve">PRIJEDLOG str 3. </t>
  </si>
  <si>
    <t>PRIJEDLOG str.4</t>
  </si>
  <si>
    <t xml:space="preserve">  A3. RASHODI PREMA FUNKCIJSKOJ KLASIFIKACIJI</t>
  </si>
  <si>
    <t>PRIJEDLOG str.5.</t>
  </si>
  <si>
    <t>Tekuće pomoći od izvanproračunskih korisnika</t>
  </si>
  <si>
    <t>Prihodi od financijske imovine</t>
  </si>
  <si>
    <t>Kamete na oročena sredstva i depozite po viđenju</t>
  </si>
  <si>
    <t>FINANCIJSKI PLAN DOMA ZA STARIJE OSOBE PETRINJA ZA 2026. I PROJEKCIJA ZA 2027. I 2028.</t>
  </si>
  <si>
    <t>Ostali nespomenuti prihodi</t>
  </si>
  <si>
    <t>Prihodi od prodaje proizvoda i robe te pruženih usluga</t>
  </si>
  <si>
    <t>Prihodi od pruženih usluga</t>
  </si>
  <si>
    <t>Donacije od pravnih i fizičkih osoba izvan općeg proračuna</t>
  </si>
  <si>
    <t>Prihodi od prodaje proizvoda i robe te pruženih usluga, prihodi od donacija</t>
  </si>
  <si>
    <t>Prihodi od nadležnog proračuna za financiranje redovite djelatnosti prorač.korisnika</t>
  </si>
  <si>
    <t>Prihodi nadležnog proračun za fianciranje rashoda poslovanja</t>
  </si>
  <si>
    <t>Prihodi nadležnog proračun za fianciranje rashoda za nabavu nefinancijske imovine</t>
  </si>
  <si>
    <t>Manjak</t>
  </si>
  <si>
    <t>Višak</t>
  </si>
  <si>
    <t>Rezultat poslovanja</t>
  </si>
  <si>
    <t>Rezultat-višak/manjak</t>
  </si>
  <si>
    <t>NAZIV RASHODA</t>
  </si>
  <si>
    <t>TRENUTI PLAN</t>
  </si>
  <si>
    <t>Plaće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</si>
  <si>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</si>
  <si>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</si>
  <si>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</si>
  <si>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</si>
  <si>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</si>
  <si>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obavezno zdravstveno</t>
  </si>
  <si>
    <t>321</t>
  </si>
  <si>
    <t>Naknade troškova zaposlenima</t>
  </si>
  <si>
    <t>3211</t>
  </si>
  <si>
    <t>Službena putovovanja</t>
  </si>
  <si>
    <t>3212</t>
  </si>
  <si>
    <t>Naknade za prijevoz, za rad naterenu i odvojeni život</t>
  </si>
  <si>
    <t>3213</t>
  </si>
  <si>
    <t>Stručno usavršavanje zaposlenika</t>
  </si>
  <si>
    <t>3214</t>
  </si>
  <si>
    <t>Ostale naknade troškova zaposlenih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</si>
  <si>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</si>
  <si>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</si>
  <si>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</si>
  <si>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</si>
  <si>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</si>
  <si>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</si>
  <si>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</si>
  <si>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</si>
  <si>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</si>
  <si>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3225</t>
  </si>
  <si>
    <t>Materijal i dijelovi za tekuće i investicijsko održavanje</t>
  </si>
  <si>
    <t>Sitan inventar i auto gume</t>
  </si>
  <si>
    <t>3227</t>
  </si>
  <si>
    <t>Službena, radna i zaštitna odjeća i obuća</t>
  </si>
  <si>
    <t>Rashodi za usluge</t>
  </si>
  <si>
    <t>Usluge telefona, interneta, pošte i prijevoza</t>
  </si>
  <si>
    <t>Usluge tekućeg i investicijskog održavanja</t>
  </si>
  <si>
    <t>Usluge promidžbe i informiranja</t>
  </si>
  <si>
    <t>Komunalne usluge</t>
  </si>
  <si>
    <t>Zdravstvene i veterinasrke usluge</t>
  </si>
  <si>
    <t>Intelektualne i osobe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</si>
  <si>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</si>
  <si>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</si>
  <si>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</si>
  <si>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</si>
  <si>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</si>
  <si>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</si>
  <si>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Pristojbe i naknade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</si>
  <si>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</si>
  <si>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</si>
  <si>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</si>
  <si>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</si>
  <si>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</si>
  <si>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</si>
  <si>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Postrojenja i oprema</t>
  </si>
  <si>
    <t>Uredska oprema i namještaj</t>
  </si>
  <si>
    <t>Komunikacijska oprema</t>
  </si>
  <si>
    <t>Oprema za održavanje i zaštitu</t>
  </si>
  <si>
    <t>Uređaji i strojevi za ostale namjene</t>
  </si>
  <si>
    <t>Medicinska i laboratorijska oprema</t>
  </si>
  <si>
    <t>Prijevozna sredstva u cestovnom prometu</t>
  </si>
  <si>
    <t>Prijevozna sredstva</t>
  </si>
  <si>
    <t>453</t>
  </si>
  <si>
    <t>4531</t>
  </si>
  <si>
    <t>Dodatna ulagaanja na prijevoznim sredstvima</t>
  </si>
  <si>
    <t>Zakupnine i najmanine</t>
  </si>
  <si>
    <t>UKUPNO RASHODI</t>
  </si>
  <si>
    <t>IZVRŠENJE</t>
  </si>
  <si>
    <t>PLAN</t>
  </si>
  <si>
    <t>,</t>
  </si>
  <si>
    <t>IZVRŠENJE 2024</t>
  </si>
  <si>
    <t>PRIJENOS VIŠKA MANJKA IZ PRETHODE GODINE</t>
  </si>
  <si>
    <t>VIŠAK MANJAK IZ PRETHODNE GODINE KOJI ĆE SE POKRITI</t>
  </si>
  <si>
    <t xml:space="preserve">VIŠAK MANJAK TEKUĆE GODINE (VIŠAK MANJAK+NETO FINANCIRANJE) </t>
  </si>
  <si>
    <t>IZVOR</t>
  </si>
  <si>
    <t>Opći pirhodi i primici Domovi za starije i nemoćne</t>
  </si>
  <si>
    <t>3.1.1.</t>
  </si>
  <si>
    <t>Vlastiti prihodi-pk</t>
  </si>
  <si>
    <t>Prihodi od prodajeproizvoda i robe te pruženih usluga, te prihodi od donacija</t>
  </si>
  <si>
    <t>4.3.1.</t>
  </si>
  <si>
    <t>Prihodi od upravnih i administivih pristojbi, pristojbi po posebnim propisima i naknadama</t>
  </si>
  <si>
    <t>5.2.1.</t>
  </si>
  <si>
    <t>Pomoći -HZZ-PK</t>
  </si>
  <si>
    <t>Pomoći iz inozemnstva i subjekata unutar općeg prorčuna</t>
  </si>
  <si>
    <t>6.2.1.</t>
  </si>
  <si>
    <t>31</t>
  </si>
  <si>
    <t>32</t>
  </si>
  <si>
    <t>45</t>
  </si>
  <si>
    <t>42</t>
  </si>
  <si>
    <t>Opći prihodi Dmovi za straije i nemoćne</t>
  </si>
  <si>
    <t>34</t>
  </si>
  <si>
    <t>Rashodi za ulaganja na nefiancijskog imovini</t>
  </si>
  <si>
    <t>Prihodi za posebene namjene</t>
  </si>
  <si>
    <t>Pomoći-HZZ-PK</t>
  </si>
  <si>
    <t>Rashodiza nabavu proizvedene dugiotrahne imovine</t>
  </si>
  <si>
    <t>FINANANCIJSKI PLAN DOMA ZA STARIJE OSOBE PETRINJA ZA 2026. I PROJEKCIJA ZA 2027. I 2028. GODINU</t>
  </si>
  <si>
    <t>PLAN 2026</t>
  </si>
  <si>
    <t>TRENUTNI PLAN 2025</t>
  </si>
  <si>
    <t>PROJEKCIJA 2028</t>
  </si>
  <si>
    <t>Izvor financiranja1.5.</t>
  </si>
  <si>
    <t>Izvor financiranja 3.1.1.</t>
  </si>
  <si>
    <t>Rashodi za nabavuproizvedene dugotrajne imovine</t>
  </si>
  <si>
    <t>KLASA: 400-01/25-01/01</t>
  </si>
  <si>
    <t>URBROJ: 2176-119/04-25-1</t>
  </si>
  <si>
    <t>PRIJENOS VIŠKA MANJKA U SLJEDEĆE RAZDOBLJE</t>
  </si>
  <si>
    <t>Petrinja, 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</si>
</sst>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3"/>
      <color indexed="8"/>
      <name val="Times New Roman"/>
      <family val="1"/>
      <charset val="238"/>
    </font>
    <font>
      <i/>
      <sz val="13"/>
      <color indexed="8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1" xfId="0" quotePrefix="1" applyFont="1" applyBorder="1" applyAlignment="1">
      <alignment horizontal="center" wrapText="1"/>
    </xf>
    <xf numFmtId="0" fontId="12" fillId="0" borderId="2" xfId="0" quotePrefix="1" applyFont="1" applyBorder="1" applyAlignment="1">
      <alignment horizontal="center" wrapText="1"/>
    </xf>
    <xf numFmtId="0" fontId="12" fillId="0" borderId="4" xfId="0" quotePrefix="1" applyFont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3" fontId="12" fillId="4" borderId="3" xfId="0" quotePrefix="1" applyNumberFormat="1" applyFont="1" applyFill="1" applyBorder="1" applyAlignment="1">
      <alignment horizontal="right"/>
    </xf>
    <xf numFmtId="3" fontId="12" fillId="3" borderId="3" xfId="0" quotePrefix="1" applyNumberFormat="1" applyFont="1" applyFill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15" fillId="2" borderId="3" xfId="0" quotePrefix="1" applyFont="1" applyFill="1" applyBorder="1" applyAlignment="1">
      <alignment horizontal="center" vertical="center"/>
    </xf>
    <xf numFmtId="0" fontId="15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/>
    </xf>
    <xf numFmtId="0" fontId="14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center" vertical="center"/>
    </xf>
    <xf numFmtId="0" fontId="14" fillId="2" borderId="3" xfId="0" quotePrefix="1" applyFont="1" applyFill="1" applyBorder="1" applyAlignment="1">
      <alignment vertical="center"/>
    </xf>
    <xf numFmtId="0" fontId="14" fillId="2" borderId="3" xfId="0" quotePrefix="1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/>
    </xf>
    <xf numFmtId="0" fontId="15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4" fontId="3" fillId="0" borderId="0" xfId="0" applyNumberFormat="1" applyFont="1"/>
    <xf numFmtId="0" fontId="15" fillId="2" borderId="3" xfId="0" applyFont="1" applyFill="1" applyBorder="1" applyAlignment="1">
      <alignment horizontal="center" vertical="center" wrapText="1"/>
    </xf>
    <xf numFmtId="0" fontId="20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4" fontId="21" fillId="2" borderId="0" xfId="0" applyNumberFormat="1" applyFont="1" applyFill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 vertical="center"/>
    </xf>
    <xf numFmtId="3" fontId="4" fillId="0" borderId="1" xfId="0" applyNumberFormat="1" applyFont="1" applyBorder="1"/>
    <xf numFmtId="3" fontId="4" fillId="0" borderId="4" xfId="0" applyNumberFormat="1" applyFont="1" applyBorder="1"/>
    <xf numFmtId="3" fontId="6" fillId="2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9" fontId="9" fillId="2" borderId="3" xfId="0" quotePrefix="1" applyNumberFormat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49" fontId="8" fillId="2" borderId="3" xfId="0" quotePrefix="1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vertical="center"/>
    </xf>
    <xf numFmtId="0" fontId="4" fillId="0" borderId="0" xfId="0" applyFont="1"/>
    <xf numFmtId="1" fontId="12" fillId="2" borderId="3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right"/>
    </xf>
    <xf numFmtId="3" fontId="12" fillId="3" borderId="3" xfId="0" quotePrefix="1" applyNumberFormat="1" applyFont="1" applyFill="1" applyBorder="1" applyAlignment="1">
      <alignment vertical="center"/>
    </xf>
    <xf numFmtId="3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right"/>
    </xf>
    <xf numFmtId="0" fontId="24" fillId="0" borderId="0" xfId="0" applyFont="1" applyAlignment="1">
      <alignment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0" fontId="15" fillId="2" borderId="3" xfId="0" quotePrefix="1" applyFont="1" applyFill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left" vertical="center" wrapText="1"/>
    </xf>
    <xf numFmtId="3" fontId="12" fillId="8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2" fillId="9" borderId="3" xfId="0" applyFont="1" applyFill="1" applyBorder="1" applyAlignment="1">
      <alignment horizontal="center" vertical="center" wrapText="1"/>
    </xf>
    <xf numFmtId="3" fontId="12" fillId="9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3" xfId="0" applyFont="1" applyFill="1" applyBorder="1" applyAlignment="1">
      <alignment horizontal="left" vertical="center" wrapText="1"/>
    </xf>
    <xf numFmtId="3" fontId="12" fillId="6" borderId="3" xfId="0" applyNumberFormat="1" applyFont="1" applyFill="1" applyBorder="1" applyAlignment="1">
      <alignment horizontal="right" vertical="center"/>
    </xf>
    <xf numFmtId="0" fontId="12" fillId="5" borderId="3" xfId="0" applyFont="1" applyFill="1" applyBorder="1" applyAlignment="1">
      <alignment horizontal="left" vertical="center" wrapText="1"/>
    </xf>
    <xf numFmtId="3" fontId="12" fillId="5" borderId="3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3" fontId="12" fillId="7" borderId="3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3" fontId="12" fillId="10" borderId="3" xfId="0" applyNumberFormat="1" applyFont="1" applyFill="1" applyBorder="1" applyAlignment="1">
      <alignment horizontal="right" vertical="center"/>
    </xf>
    <xf numFmtId="4" fontId="11" fillId="0" borderId="0" xfId="0" applyNumberFormat="1" applyFont="1"/>
    <xf numFmtId="3" fontId="13" fillId="2" borderId="3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5" fillId="2" borderId="1" xfId="0" quotePrefix="1" applyFont="1" applyFill="1" applyBorder="1" applyAlignment="1">
      <alignment horizontal="right" vertical="center"/>
    </xf>
    <xf numFmtId="0" fontId="15" fillId="2" borderId="4" xfId="0" quotePrefix="1" applyFont="1" applyFill="1" applyBorder="1" applyAlignment="1">
      <alignment horizontal="right" vertical="center"/>
    </xf>
    <xf numFmtId="3" fontId="11" fillId="0" borderId="1" xfId="0" applyNumberFormat="1" applyFont="1" applyBorder="1"/>
    <xf numFmtId="3" fontId="11" fillId="0" borderId="4" xfId="0" applyNumberFormat="1" applyFont="1" applyBorder="1"/>
    <xf numFmtId="0" fontId="15" fillId="2" borderId="3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vertical="center"/>
    </xf>
    <xf numFmtId="3" fontId="10" fillId="0" borderId="3" xfId="0" applyNumberFormat="1" applyFont="1" applyBorder="1"/>
    <xf numFmtId="3" fontId="10" fillId="2" borderId="3" xfId="0" applyNumberFormat="1" applyFont="1" applyFill="1" applyBorder="1" applyAlignment="1">
      <alignment vertical="center"/>
    </xf>
    <xf numFmtId="3" fontId="12" fillId="11" borderId="3" xfId="0" applyNumberFormat="1" applyFont="1" applyFill="1" applyBorder="1" applyAlignment="1">
      <alignment horizontal="right" vertical="center" wrapText="1"/>
    </xf>
    <xf numFmtId="3" fontId="11" fillId="11" borderId="1" xfId="0" applyNumberFormat="1" applyFont="1" applyFill="1" applyBorder="1" applyAlignment="1">
      <alignment horizontal="right" vertical="center"/>
    </xf>
    <xf numFmtId="3" fontId="11" fillId="11" borderId="3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/>
    </xf>
    <xf numFmtId="3" fontId="12" fillId="3" borderId="3" xfId="0" quotePrefix="1" applyNumberFormat="1" applyFont="1" applyFill="1" applyBorder="1" applyAlignment="1">
      <alignment horizontal="center" vertical="center"/>
    </xf>
    <xf numFmtId="3" fontId="12" fillId="4" borderId="3" xfId="0" quotePrefix="1" applyNumberFormat="1" applyFont="1" applyFill="1" applyBorder="1" applyAlignment="1">
      <alignment horizontal="center" vertical="center"/>
    </xf>
    <xf numFmtId="14" fontId="14" fillId="2" borderId="3" xfId="0" quotePrefix="1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left" vertical="center" wrapText="1"/>
    </xf>
    <xf numFmtId="3" fontId="14" fillId="12" borderId="3" xfId="0" applyNumberFormat="1" applyFont="1" applyFill="1" applyBorder="1" applyAlignment="1">
      <alignment horizontal="right" vertical="center"/>
    </xf>
    <xf numFmtId="0" fontId="14" fillId="12" borderId="4" xfId="0" applyFont="1" applyFill="1" applyBorder="1" applyAlignment="1">
      <alignment horizontal="left" vertical="center" wrapText="1"/>
    </xf>
    <xf numFmtId="4" fontId="11" fillId="4" borderId="0" xfId="0" applyNumberFormat="1" applyFont="1" applyFill="1"/>
    <xf numFmtId="0" fontId="11" fillId="4" borderId="0" xfId="0" applyFont="1" applyFill="1"/>
    <xf numFmtId="3" fontId="4" fillId="0" borderId="0" xfId="0" applyNumberFormat="1" applyFont="1"/>
    <xf numFmtId="3" fontId="3" fillId="0" borderId="0" xfId="0" applyNumberFormat="1" applyFont="1"/>
    <xf numFmtId="3" fontId="11" fillId="11" borderId="4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1" xfId="0" quotePrefix="1" applyNumberFormat="1" applyFont="1" applyFill="1" applyBorder="1" applyAlignment="1">
      <alignment horizontal="center" vertical="center"/>
    </xf>
    <xf numFmtId="3" fontId="12" fillId="3" borderId="4" xfId="0" quotePrefix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3" fontId="12" fillId="4" borderId="1" xfId="0" quotePrefix="1" applyNumberFormat="1" applyFont="1" applyFill="1" applyBorder="1" applyAlignment="1">
      <alignment horizontal="center" vertical="center"/>
    </xf>
    <xf numFmtId="3" fontId="12" fillId="4" borderId="4" xfId="0" quotePrefix="1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4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/>
    </xf>
    <xf numFmtId="0" fontId="14" fillId="0" borderId="3" xfId="0" quotePrefix="1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3" fontId="11" fillId="11" borderId="0" xfId="0" applyNumberFormat="1" applyFont="1" applyFill="1" applyAlignment="1">
      <alignment horizontal="right"/>
    </xf>
    <xf numFmtId="3" fontId="10" fillId="11" borderId="0" xfId="0" applyNumberFormat="1" applyFont="1" applyFill="1" applyAlignment="1">
      <alignment horizontal="right"/>
    </xf>
    <xf numFmtId="0" fontId="12" fillId="0" borderId="1" xfId="0" quotePrefix="1" applyFont="1" applyBorder="1" applyAlignment="1">
      <alignment horizontal="center" wrapText="1"/>
    </xf>
    <xf numFmtId="0" fontId="12" fillId="0" borderId="2" xfId="0" quotePrefix="1" applyFont="1" applyBorder="1" applyAlignment="1">
      <alignment horizontal="center" wrapText="1"/>
    </xf>
    <xf numFmtId="0" fontId="12" fillId="0" borderId="4" xfId="0" quotePrefix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2" fillId="3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0" fillId="0" borderId="1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1" fontId="1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right"/>
    </xf>
    <xf numFmtId="3" fontId="12" fillId="4" borderId="4" xfId="0" quotePrefix="1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12" fillId="3" borderId="1" xfId="0" quotePrefix="1" applyNumberFormat="1" applyFont="1" applyFill="1" applyBorder="1" applyAlignment="1">
      <alignment horizontal="right" vertical="center"/>
    </xf>
    <xf numFmtId="3" fontId="12" fillId="3" borderId="4" xfId="0" quotePrefix="1" applyNumberFormat="1" applyFont="1" applyFill="1" applyBorder="1" applyAlignment="1">
      <alignment horizontal="right" vertical="center"/>
    </xf>
    <xf numFmtId="0" fontId="4" fillId="11" borderId="0" xfId="0" applyFont="1" applyFill="1" applyAlignment="1">
      <alignment horizontal="right"/>
    </xf>
    <xf numFmtId="0" fontId="23" fillId="11" borderId="1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3" fillId="11" borderId="4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3" fontId="11" fillId="0" borderId="4" xfId="0" applyNumberFormat="1" applyFont="1" applyBorder="1"/>
    <xf numFmtId="3" fontId="10" fillId="0" borderId="1" xfId="0" applyNumberFormat="1" applyFont="1" applyBorder="1"/>
    <xf numFmtId="3" fontId="10" fillId="0" borderId="4" xfId="0" applyNumberFormat="1" applyFont="1" applyBorder="1"/>
    <xf numFmtId="0" fontId="14" fillId="2" borderId="1" xfId="0" quotePrefix="1" applyFont="1" applyFill="1" applyBorder="1" applyAlignment="1">
      <alignment horizontal="left" vertical="center" wrapText="1"/>
    </xf>
    <xf numFmtId="0" fontId="14" fillId="2" borderId="4" xfId="0" quotePrefix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3" fontId="11" fillId="11" borderId="1" xfId="0" applyNumberFormat="1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14" fillId="2" borderId="4" xfId="0" quotePrefix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horizontal="right" vertical="center"/>
    </xf>
    <xf numFmtId="0" fontId="15" fillId="2" borderId="4" xfId="0" quotePrefix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2" borderId="13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" xfId="0" quotePrefix="1" applyFont="1" applyFill="1" applyBorder="1" applyAlignment="1">
      <alignment horizontal="left" vertical="center"/>
    </xf>
    <xf numFmtId="0" fontId="14" fillId="2" borderId="4" xfId="0" quotePrefix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5" fillId="2" borderId="1" xfId="0" quotePrefix="1" applyNumberFormat="1" applyFont="1" applyFill="1" applyBorder="1" applyAlignment="1">
      <alignment horizontal="right" vertical="center"/>
    </xf>
    <xf numFmtId="49" fontId="15" fillId="2" borderId="4" xfId="0" quotePrefix="1" applyNumberFormat="1" applyFont="1" applyFill="1" applyBorder="1" applyAlignment="1">
      <alignment horizontal="right" vertical="center"/>
    </xf>
    <xf numFmtId="49" fontId="14" fillId="2" borderId="1" xfId="0" quotePrefix="1" applyNumberFormat="1" applyFont="1" applyFill="1" applyBorder="1" applyAlignment="1">
      <alignment horizontal="center" vertical="center"/>
    </xf>
    <xf numFmtId="49" fontId="14" fillId="2" borderId="4" xfId="0" quotePrefix="1" applyNumberFormat="1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horizontal="left" vertical="center" wrapText="1"/>
    </xf>
    <xf numFmtId="0" fontId="23" fillId="11" borderId="6" xfId="0" applyFont="1" applyFill="1" applyBorder="1" applyAlignment="1">
      <alignment horizontal="left" vertical="center" wrapText="1"/>
    </xf>
    <xf numFmtId="0" fontId="23" fillId="11" borderId="10" xfId="0" applyFont="1" applyFill="1" applyBorder="1" applyAlignment="1">
      <alignment horizontal="left" vertical="center" wrapText="1"/>
    </xf>
    <xf numFmtId="0" fontId="14" fillId="2" borderId="2" xfId="0" quotePrefix="1" applyFont="1" applyFill="1" applyBorder="1" applyAlignment="1">
      <alignment horizontal="left" vertical="center"/>
    </xf>
    <xf numFmtId="3" fontId="11" fillId="11" borderId="1" xfId="0" applyNumberFormat="1" applyFont="1" applyFill="1" applyBorder="1" applyAlignment="1">
      <alignment horizontal="right" vertical="center"/>
    </xf>
    <xf numFmtId="0" fontId="11" fillId="11" borderId="4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top"/>
    </xf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11" fillId="11" borderId="0" xfId="0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4" xfId="0" applyNumberFormat="1" applyFont="1" applyFill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14" fillId="12" borderId="3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3" fontId="11" fillId="5" borderId="3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0" fontId="12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3" fontId="14" fillId="12" borderId="3" xfId="0" applyNumberFormat="1" applyFont="1" applyFill="1" applyBorder="1" applyAlignment="1">
      <alignment horizontal="right" vertical="center"/>
    </xf>
    <xf numFmtId="3" fontId="11" fillId="6" borderId="3" xfId="0" applyNumberFormat="1" applyFont="1" applyFill="1" applyBorder="1" applyAlignment="1">
      <alignment horizontal="right" vertical="center"/>
    </xf>
    <xf numFmtId="3" fontId="11" fillId="7" borderId="3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3" fontId="11" fillId="8" borderId="4" xfId="0" applyNumberFormat="1" applyFont="1" applyFill="1" applyBorder="1" applyAlignment="1">
      <alignment horizontal="right" vertical="center"/>
    </xf>
    <xf numFmtId="3" fontId="11" fillId="8" borderId="3" xfId="0" applyNumberFormat="1" applyFont="1" applyFill="1" applyBorder="1" applyAlignment="1">
      <alignment horizontal="right" vertical="center"/>
    </xf>
    <xf numFmtId="3" fontId="11" fillId="9" borderId="3" xfId="0" applyNumberFormat="1" applyFont="1" applyFill="1" applyBorder="1" applyAlignment="1">
      <alignment horizontal="center" vertical="center"/>
    </xf>
    <xf numFmtId="3" fontId="11" fillId="10" borderId="3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40"/>
  <sheetViews>
    <sheetView view="pageLayout" topLeftCell="A28" zoomScaleNormal="100" zoomScaleSheetLayoutView="110" workbookViewId="0">
      <selection activeCell="F39" sqref="F39"/>
    </sheetView>
  </sheetViews>
  <sheetFormatPr defaultRowHeight="15.75" x14ac:dyDescent="0.25"/>
  <cols>
    <col min="1" max="4" width="9.140625" style="5"/>
    <col min="5" max="5" width="55.140625" style="5" customWidth="1"/>
    <col min="6" max="6" width="22.7109375" style="73" customWidth="1"/>
    <col min="7" max="7" width="19.5703125" style="74" customWidth="1"/>
    <col min="8" max="8" width="9.140625" style="74"/>
    <col min="9" max="9" width="7.85546875" style="74" customWidth="1"/>
    <col min="10" max="10" width="9.140625" style="74"/>
    <col min="11" max="11" width="11" style="74" customWidth="1"/>
    <col min="12" max="12" width="9.140625" style="74"/>
    <col min="13" max="13" width="10.28515625" style="74" customWidth="1"/>
    <col min="14" max="14" width="9.140625" style="74"/>
    <col min="15" max="16384" width="9.140625" style="5"/>
  </cols>
  <sheetData>
    <row r="1" spans="1:13" x14ac:dyDescent="0.25">
      <c r="K1" s="179" t="s">
        <v>96</v>
      </c>
      <c r="L1" s="180"/>
      <c r="M1" s="180"/>
    </row>
    <row r="2" spans="1:13" ht="19.5" customHeight="1" x14ac:dyDescent="0.25">
      <c r="A2" s="184" t="s">
        <v>97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17.25" customHeight="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17.25" customHeight="1" x14ac:dyDescent="0.25">
      <c r="A4" s="6"/>
      <c r="B4" s="6"/>
      <c r="C4" s="6"/>
      <c r="D4" s="6"/>
      <c r="E4" s="6"/>
      <c r="F4" s="75"/>
      <c r="G4" s="76"/>
    </row>
    <row r="5" spans="1:13" ht="15.75" customHeight="1" x14ac:dyDescent="0.25">
      <c r="A5" s="185" t="s">
        <v>13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 x14ac:dyDescent="0.25">
      <c r="A6" s="6"/>
      <c r="B6" s="6"/>
      <c r="C6" s="6"/>
      <c r="D6" s="6"/>
      <c r="E6" s="6"/>
      <c r="F6" s="77"/>
      <c r="G6" s="78"/>
    </row>
    <row r="7" spans="1:13" ht="18" customHeight="1" x14ac:dyDescent="0.25">
      <c r="A7" s="185" t="s">
        <v>18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</row>
    <row r="8" spans="1:13" x14ac:dyDescent="0.25">
      <c r="A8" s="8"/>
      <c r="B8" s="9"/>
      <c r="C8" s="9"/>
      <c r="D8" s="9"/>
      <c r="E8" s="6"/>
      <c r="F8" s="79"/>
      <c r="G8" s="80"/>
    </row>
    <row r="9" spans="1:13" ht="26.25" customHeight="1" x14ac:dyDescent="0.25">
      <c r="A9" s="181"/>
      <c r="B9" s="182"/>
      <c r="C9" s="182"/>
      <c r="D9" s="182"/>
      <c r="E9" s="183"/>
      <c r="F9" s="81" t="s">
        <v>81</v>
      </c>
      <c r="G9" s="81" t="s">
        <v>82</v>
      </c>
      <c r="H9" s="186" t="s">
        <v>83</v>
      </c>
      <c r="I9" s="187"/>
      <c r="J9" s="186" t="s">
        <v>84</v>
      </c>
      <c r="K9" s="187"/>
      <c r="L9" s="186" t="s">
        <v>85</v>
      </c>
      <c r="M9" s="187"/>
    </row>
    <row r="10" spans="1:13" ht="17.25" customHeight="1" x14ac:dyDescent="0.25">
      <c r="A10" s="10"/>
      <c r="B10" s="11"/>
      <c r="C10" s="11"/>
      <c r="D10" s="11"/>
      <c r="E10" s="12"/>
      <c r="F10" s="72">
        <v>2024</v>
      </c>
      <c r="G10" s="72">
        <v>2025</v>
      </c>
      <c r="H10" s="164">
        <v>2026</v>
      </c>
      <c r="I10" s="165"/>
      <c r="J10" s="164">
        <v>2027</v>
      </c>
      <c r="K10" s="165"/>
      <c r="L10" s="164">
        <v>2028</v>
      </c>
      <c r="M10" s="165"/>
    </row>
    <row r="11" spans="1:13" x14ac:dyDescent="0.25">
      <c r="A11" s="170" t="s">
        <v>0</v>
      </c>
      <c r="B11" s="171"/>
      <c r="C11" s="171"/>
      <c r="D11" s="171"/>
      <c r="E11" s="172"/>
      <c r="F11" s="82">
        <f>SUM(F12)</f>
        <v>1980138</v>
      </c>
      <c r="G11" s="82">
        <f>SUM(G12:G13)</f>
        <v>3357726</v>
      </c>
      <c r="H11" s="191">
        <f>SUM(H12:I13)</f>
        <v>3670000</v>
      </c>
      <c r="I11" s="191"/>
      <c r="J11" s="191">
        <v>3848502</v>
      </c>
      <c r="K11" s="191"/>
      <c r="L11" s="191">
        <f>SUM(L12:M13)</f>
        <v>4035928</v>
      </c>
      <c r="M11" s="191"/>
    </row>
    <row r="12" spans="1:13" x14ac:dyDescent="0.25">
      <c r="A12" s="173" t="s">
        <v>70</v>
      </c>
      <c r="B12" s="169"/>
      <c r="C12" s="169"/>
      <c r="D12" s="169"/>
      <c r="E12" s="174"/>
      <c r="F12" s="83">
        <v>1980138</v>
      </c>
      <c r="G12" s="83">
        <v>3357726</v>
      </c>
      <c r="H12" s="195">
        <v>3670000</v>
      </c>
      <c r="I12" s="196"/>
      <c r="J12" s="192">
        <v>3848502</v>
      </c>
      <c r="K12" s="192"/>
      <c r="L12" s="192">
        <v>4035928</v>
      </c>
      <c r="M12" s="192"/>
    </row>
    <row r="13" spans="1:13" x14ac:dyDescent="0.25">
      <c r="A13" s="175" t="s">
        <v>72</v>
      </c>
      <c r="B13" s="174"/>
      <c r="C13" s="174"/>
      <c r="D13" s="174"/>
      <c r="E13" s="174"/>
      <c r="F13" s="83">
        <v>0</v>
      </c>
      <c r="G13" s="83">
        <v>0</v>
      </c>
      <c r="H13" s="192">
        <v>0</v>
      </c>
      <c r="I13" s="192"/>
      <c r="J13" s="192">
        <v>0</v>
      </c>
      <c r="K13" s="192"/>
      <c r="L13" s="192">
        <v>0</v>
      </c>
      <c r="M13" s="192"/>
    </row>
    <row r="14" spans="1:13" x14ac:dyDescent="0.25">
      <c r="A14" s="176" t="s">
        <v>1</v>
      </c>
      <c r="B14" s="177"/>
      <c r="C14" s="177"/>
      <c r="D14" s="177"/>
      <c r="E14" s="178"/>
      <c r="F14" s="82">
        <f>SUM(F15:F16)</f>
        <v>2034675</v>
      </c>
      <c r="G14" s="82">
        <f>SUM(G15:G16)</f>
        <v>3380713.65</v>
      </c>
      <c r="H14" s="191">
        <f>SUM(H15:I16)</f>
        <v>3570000</v>
      </c>
      <c r="I14" s="191"/>
      <c r="J14" s="191">
        <f>SUM(J15:K16)</f>
        <v>3748502</v>
      </c>
      <c r="K14" s="191"/>
      <c r="L14" s="191">
        <f>SUM(L15:M16)</f>
        <v>3935927.6</v>
      </c>
      <c r="M14" s="191"/>
    </row>
    <row r="15" spans="1:13" x14ac:dyDescent="0.25">
      <c r="A15" s="168" t="s">
        <v>71</v>
      </c>
      <c r="B15" s="169"/>
      <c r="C15" s="169"/>
      <c r="D15" s="169"/>
      <c r="E15" s="169"/>
      <c r="F15" s="122">
        <v>2021644</v>
      </c>
      <c r="G15" s="122">
        <v>3317896.65</v>
      </c>
      <c r="H15" s="204">
        <v>3495000</v>
      </c>
      <c r="I15" s="204"/>
      <c r="J15" s="204">
        <v>3669752</v>
      </c>
      <c r="K15" s="204"/>
      <c r="L15" s="204">
        <f>J15*5%+3669750</f>
        <v>3853237.6</v>
      </c>
      <c r="M15" s="204"/>
    </row>
    <row r="16" spans="1:13" x14ac:dyDescent="0.25">
      <c r="A16" s="175" t="s">
        <v>73</v>
      </c>
      <c r="B16" s="174"/>
      <c r="C16" s="174"/>
      <c r="D16" s="174"/>
      <c r="E16" s="174"/>
      <c r="F16" s="122">
        <v>13031</v>
      </c>
      <c r="G16" s="122">
        <v>62817</v>
      </c>
      <c r="H16" s="205">
        <v>75000</v>
      </c>
      <c r="I16" s="206"/>
      <c r="J16" s="204">
        <f>H16*5%+75000</f>
        <v>78750</v>
      </c>
      <c r="K16" s="204"/>
      <c r="L16" s="204">
        <v>82690</v>
      </c>
      <c r="M16" s="204"/>
    </row>
    <row r="17" spans="1:13" x14ac:dyDescent="0.25">
      <c r="A17" s="188" t="s">
        <v>74</v>
      </c>
      <c r="B17" s="171"/>
      <c r="C17" s="171"/>
      <c r="D17" s="171"/>
      <c r="E17" s="171"/>
      <c r="F17" s="82">
        <f>F11-F14</f>
        <v>-54537</v>
      </c>
      <c r="G17" s="82">
        <f>G11-G14</f>
        <v>-22987.649999999907</v>
      </c>
      <c r="H17" s="191">
        <f>H14-H11</f>
        <v>-100000</v>
      </c>
      <c r="I17" s="191"/>
      <c r="J17" s="191">
        <f>J14-J11</f>
        <v>-100000</v>
      </c>
      <c r="K17" s="191"/>
      <c r="L17" s="191">
        <f>L14-L11</f>
        <v>-100000.39999999991</v>
      </c>
      <c r="M17" s="191"/>
    </row>
    <row r="18" spans="1:13" x14ac:dyDescent="0.25">
      <c r="A18" s="6"/>
      <c r="B18" s="7"/>
      <c r="C18" s="7"/>
      <c r="D18" s="7"/>
      <c r="E18" s="7"/>
      <c r="F18" s="84"/>
      <c r="G18" s="85"/>
    </row>
    <row r="19" spans="1:13" ht="18" customHeight="1" x14ac:dyDescent="0.25">
      <c r="A19" s="185" t="s">
        <v>19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</row>
    <row r="20" spans="1:13" x14ac:dyDescent="0.25">
      <c r="A20" s="6"/>
      <c r="B20" s="7"/>
      <c r="C20" s="7"/>
      <c r="D20" s="7"/>
      <c r="E20" s="7"/>
      <c r="F20" s="84"/>
      <c r="G20" s="85"/>
    </row>
    <row r="21" spans="1:13" x14ac:dyDescent="0.25">
      <c r="A21" s="181"/>
      <c r="B21" s="182"/>
      <c r="C21" s="182"/>
      <c r="D21" s="182"/>
      <c r="E21" s="183"/>
      <c r="F21" s="81"/>
      <c r="G21" s="81"/>
      <c r="H21" s="186"/>
      <c r="I21" s="187"/>
      <c r="J21" s="186"/>
      <c r="K21" s="187"/>
      <c r="L21" s="186"/>
      <c r="M21" s="187"/>
    </row>
    <row r="22" spans="1:13" ht="15.75" customHeight="1" x14ac:dyDescent="0.25">
      <c r="A22" s="173" t="s">
        <v>2</v>
      </c>
      <c r="B22" s="173"/>
      <c r="C22" s="173"/>
      <c r="D22" s="173"/>
      <c r="E22" s="173"/>
      <c r="F22" s="86">
        <v>0</v>
      </c>
      <c r="G22" s="86">
        <v>0</v>
      </c>
      <c r="H22" s="189">
        <v>0</v>
      </c>
      <c r="I22" s="190"/>
      <c r="J22" s="189">
        <v>0</v>
      </c>
      <c r="K22" s="190"/>
      <c r="L22" s="189">
        <v>0</v>
      </c>
      <c r="M22" s="190"/>
    </row>
    <row r="23" spans="1:13" x14ac:dyDescent="0.25">
      <c r="A23" s="173" t="s">
        <v>3</v>
      </c>
      <c r="B23" s="169"/>
      <c r="C23" s="169"/>
      <c r="D23" s="169"/>
      <c r="E23" s="169"/>
      <c r="F23" s="86">
        <v>0</v>
      </c>
      <c r="G23" s="86">
        <v>0</v>
      </c>
      <c r="H23" s="189">
        <v>0</v>
      </c>
      <c r="I23" s="190"/>
      <c r="J23" s="189">
        <v>0</v>
      </c>
      <c r="K23" s="190"/>
      <c r="L23" s="189">
        <v>0</v>
      </c>
      <c r="M23" s="190"/>
    </row>
    <row r="24" spans="1:13" x14ac:dyDescent="0.25">
      <c r="A24" s="188" t="s">
        <v>4</v>
      </c>
      <c r="B24" s="171"/>
      <c r="C24" s="171"/>
      <c r="D24" s="171"/>
      <c r="E24" s="171"/>
      <c r="F24" s="82">
        <v>0</v>
      </c>
      <c r="G24" s="17">
        <v>0</v>
      </c>
      <c r="H24" s="197">
        <v>0</v>
      </c>
      <c r="I24" s="198"/>
      <c r="J24" s="197">
        <v>0</v>
      </c>
      <c r="K24" s="198"/>
      <c r="L24" s="197">
        <v>0</v>
      </c>
      <c r="M24" s="198"/>
    </row>
    <row r="25" spans="1:13" ht="14.25" customHeight="1" x14ac:dyDescent="0.25">
      <c r="A25" s="14"/>
      <c r="B25" s="7"/>
      <c r="C25" s="7"/>
      <c r="D25" s="7"/>
      <c r="E25" s="7"/>
      <c r="F25" s="84"/>
      <c r="G25" s="85"/>
    </row>
    <row r="26" spans="1:13" ht="16.5" customHeight="1" x14ac:dyDescent="0.25">
      <c r="A26" s="185" t="s">
        <v>86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3" x14ac:dyDescent="0.25">
      <c r="A27" s="14"/>
      <c r="B27" s="7"/>
      <c r="C27" s="7"/>
      <c r="D27" s="7"/>
      <c r="E27" s="7"/>
      <c r="F27" s="84"/>
      <c r="G27" s="85"/>
    </row>
    <row r="28" spans="1:13" x14ac:dyDescent="0.25">
      <c r="A28" s="181"/>
      <c r="B28" s="182"/>
      <c r="C28" s="182"/>
      <c r="D28" s="182"/>
      <c r="E28" s="183"/>
      <c r="F28" s="72">
        <v>2024</v>
      </c>
      <c r="G28" s="72">
        <v>2025</v>
      </c>
      <c r="H28" s="199">
        <v>2026</v>
      </c>
      <c r="I28" s="199"/>
      <c r="J28" s="199">
        <v>2027</v>
      </c>
      <c r="K28" s="199"/>
      <c r="L28" s="199">
        <v>2028</v>
      </c>
      <c r="M28" s="199"/>
    </row>
    <row r="29" spans="1:13" x14ac:dyDescent="0.25">
      <c r="A29" s="166" t="s">
        <v>190</v>
      </c>
      <c r="B29" s="166"/>
      <c r="C29" s="166"/>
      <c r="D29" s="166"/>
      <c r="E29" s="166"/>
      <c r="F29" s="15">
        <v>54536.79</v>
      </c>
      <c r="G29" s="15">
        <v>-22988</v>
      </c>
      <c r="H29" s="202">
        <v>-300000</v>
      </c>
      <c r="I29" s="203"/>
      <c r="J29" s="202">
        <v>-200000</v>
      </c>
      <c r="K29" s="203"/>
      <c r="L29" s="202">
        <v>-100000</v>
      </c>
      <c r="M29" s="203"/>
    </row>
    <row r="30" spans="1:13" x14ac:dyDescent="0.25">
      <c r="A30" s="151" t="s">
        <v>223</v>
      </c>
      <c r="B30" s="152"/>
      <c r="C30" s="152"/>
      <c r="D30" s="152"/>
      <c r="E30" s="153"/>
      <c r="F30" s="15">
        <v>31548.52</v>
      </c>
      <c r="G30" s="15">
        <v>-22988</v>
      </c>
      <c r="H30" s="202">
        <v>-100000</v>
      </c>
      <c r="I30" s="203"/>
      <c r="J30" s="202">
        <v>-100000</v>
      </c>
      <c r="K30" s="203"/>
      <c r="L30" s="202">
        <v>-100000</v>
      </c>
      <c r="M30" s="203"/>
    </row>
    <row r="31" spans="1:13" ht="45.75" customHeight="1" x14ac:dyDescent="0.25">
      <c r="A31" s="154" t="s">
        <v>89</v>
      </c>
      <c r="B31" s="155"/>
      <c r="C31" s="155"/>
      <c r="D31" s="155"/>
      <c r="E31" s="156"/>
      <c r="F31" s="16">
        <v>-22988</v>
      </c>
      <c r="G31" s="87">
        <v>-22988</v>
      </c>
      <c r="H31" s="207">
        <v>-200000</v>
      </c>
      <c r="I31" s="208"/>
      <c r="J31" s="207">
        <v>-100000</v>
      </c>
      <c r="K31" s="208"/>
      <c r="L31" s="207">
        <v>0</v>
      </c>
      <c r="M31" s="208"/>
    </row>
    <row r="32" spans="1:13" x14ac:dyDescent="0.25">
      <c r="A32" s="201"/>
      <c r="B32" s="201"/>
      <c r="C32" s="201"/>
      <c r="D32" s="201"/>
      <c r="E32" s="201"/>
    </row>
    <row r="33" spans="1:13" x14ac:dyDescent="0.25">
      <c r="A33" s="167" t="s">
        <v>87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13" ht="23.25" customHeight="1" x14ac:dyDescent="0.25">
      <c r="A34" s="193"/>
      <c r="B34" s="194"/>
      <c r="C34" s="194"/>
      <c r="D34" s="194"/>
      <c r="E34" s="194"/>
      <c r="F34" s="194"/>
      <c r="G34" s="88"/>
    </row>
    <row r="35" spans="1:13" ht="34.5" customHeight="1" x14ac:dyDescent="0.25">
      <c r="A35" s="181"/>
      <c r="B35" s="182"/>
      <c r="C35" s="182"/>
      <c r="D35" s="182"/>
      <c r="E35" s="183"/>
      <c r="F35" s="72">
        <v>2024</v>
      </c>
      <c r="G35" s="72">
        <v>2025</v>
      </c>
      <c r="H35" s="200">
        <v>2026</v>
      </c>
      <c r="I35" s="200"/>
      <c r="J35" s="200">
        <v>2027</v>
      </c>
      <c r="K35" s="200"/>
      <c r="L35" s="200">
        <v>2028</v>
      </c>
      <c r="M35" s="200"/>
    </row>
    <row r="36" spans="1:13" ht="29.25" customHeight="1" x14ac:dyDescent="0.25">
      <c r="A36" s="166" t="s">
        <v>190</v>
      </c>
      <c r="B36" s="166"/>
      <c r="C36" s="166"/>
      <c r="D36" s="166"/>
      <c r="E36" s="166"/>
      <c r="F36" s="140">
        <v>31549</v>
      </c>
      <c r="G36" s="140">
        <v>-22988</v>
      </c>
      <c r="H36" s="162">
        <v>-300000</v>
      </c>
      <c r="I36" s="163"/>
      <c r="J36" s="162">
        <v>-200000</v>
      </c>
      <c r="K36" s="163"/>
      <c r="L36" s="162">
        <v>-100000</v>
      </c>
      <c r="M36" s="163"/>
    </row>
    <row r="37" spans="1:13" ht="29.25" customHeight="1" x14ac:dyDescent="0.25">
      <c r="A37" s="151" t="s">
        <v>191</v>
      </c>
      <c r="B37" s="152"/>
      <c r="C37" s="152"/>
      <c r="D37" s="152"/>
      <c r="E37" s="153"/>
      <c r="F37" s="140">
        <v>-54537</v>
      </c>
      <c r="G37" s="140">
        <v>-22988</v>
      </c>
      <c r="H37" s="162">
        <v>-300000</v>
      </c>
      <c r="I37" s="163"/>
      <c r="J37" s="162"/>
      <c r="K37" s="163"/>
      <c r="L37" s="162">
        <v>-100000</v>
      </c>
      <c r="M37" s="163"/>
    </row>
    <row r="38" spans="1:13" ht="29.25" customHeight="1" x14ac:dyDescent="0.25">
      <c r="A38" s="159" t="s">
        <v>192</v>
      </c>
      <c r="B38" s="160"/>
      <c r="C38" s="160"/>
      <c r="D38" s="160"/>
      <c r="E38" s="161"/>
      <c r="F38" s="140">
        <v>-22988</v>
      </c>
      <c r="G38" s="140">
        <v>-22988</v>
      </c>
      <c r="H38" s="162">
        <v>-200000</v>
      </c>
      <c r="I38" s="163"/>
      <c r="J38" s="162">
        <f>-J37</f>
        <v>0</v>
      </c>
      <c r="K38" s="163"/>
      <c r="L38" s="162">
        <v>0</v>
      </c>
      <c r="M38" s="163"/>
    </row>
    <row r="39" spans="1:13" ht="24.75" customHeight="1" x14ac:dyDescent="0.25">
      <c r="A39" s="154" t="s">
        <v>88</v>
      </c>
      <c r="B39" s="155"/>
      <c r="C39" s="155"/>
      <c r="D39" s="155"/>
      <c r="E39" s="156"/>
      <c r="F39" s="139">
        <v>-22988</v>
      </c>
      <c r="G39" s="139">
        <v>-22988</v>
      </c>
      <c r="H39" s="157">
        <v>-200000</v>
      </c>
      <c r="I39" s="158"/>
      <c r="J39" s="157">
        <f>J37-J38</f>
        <v>0</v>
      </c>
      <c r="K39" s="158"/>
      <c r="L39" s="157">
        <v>0</v>
      </c>
      <c r="M39" s="158"/>
    </row>
    <row r="40" spans="1:13" x14ac:dyDescent="0.25">
      <c r="G40" s="89"/>
    </row>
  </sheetData>
  <mergeCells count="97">
    <mergeCell ref="A26:M26"/>
    <mergeCell ref="A28:E28"/>
    <mergeCell ref="H31:I31"/>
    <mergeCell ref="J31:K31"/>
    <mergeCell ref="L31:M31"/>
    <mergeCell ref="L30:M30"/>
    <mergeCell ref="L35:M35"/>
    <mergeCell ref="H29:I29"/>
    <mergeCell ref="J29:K29"/>
    <mergeCell ref="L29:M29"/>
    <mergeCell ref="H14:I14"/>
    <mergeCell ref="H15:I15"/>
    <mergeCell ref="H17:I17"/>
    <mergeCell ref="H16:I16"/>
    <mergeCell ref="J14:K14"/>
    <mergeCell ref="J15:K15"/>
    <mergeCell ref="J16:K16"/>
    <mergeCell ref="J17:K17"/>
    <mergeCell ref="L14:M14"/>
    <mergeCell ref="L15:M15"/>
    <mergeCell ref="L16:M16"/>
    <mergeCell ref="L17:M17"/>
    <mergeCell ref="A35:E35"/>
    <mergeCell ref="A29:E29"/>
    <mergeCell ref="A31:E31"/>
    <mergeCell ref="H35:I35"/>
    <mergeCell ref="J35:K35"/>
    <mergeCell ref="A32:E32"/>
    <mergeCell ref="H30:I30"/>
    <mergeCell ref="J30:K30"/>
    <mergeCell ref="J11:K11"/>
    <mergeCell ref="J12:K12"/>
    <mergeCell ref="L11:M11"/>
    <mergeCell ref="L12:M12"/>
    <mergeCell ref="A34:F34"/>
    <mergeCell ref="H11:I11"/>
    <mergeCell ref="H13:I13"/>
    <mergeCell ref="H12:I12"/>
    <mergeCell ref="J13:K13"/>
    <mergeCell ref="L13:M13"/>
    <mergeCell ref="H24:I24"/>
    <mergeCell ref="J24:K24"/>
    <mergeCell ref="L24:M24"/>
    <mergeCell ref="H28:I28"/>
    <mergeCell ref="J28:K28"/>
    <mergeCell ref="L28:M28"/>
    <mergeCell ref="A24:E24"/>
    <mergeCell ref="A16:E16"/>
    <mergeCell ref="A17:E17"/>
    <mergeCell ref="A21:E21"/>
    <mergeCell ref="A19:M19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K1:M1"/>
    <mergeCell ref="A9:E9"/>
    <mergeCell ref="A2:M2"/>
    <mergeCell ref="A3:M3"/>
    <mergeCell ref="A5:M5"/>
    <mergeCell ref="A7:M7"/>
    <mergeCell ref="H9:I9"/>
    <mergeCell ref="J9:K9"/>
    <mergeCell ref="L9:M9"/>
    <mergeCell ref="H10:I10"/>
    <mergeCell ref="J10:K10"/>
    <mergeCell ref="L10:M10"/>
    <mergeCell ref="A30:E30"/>
    <mergeCell ref="A36:E36"/>
    <mergeCell ref="H36:I36"/>
    <mergeCell ref="J36:K36"/>
    <mergeCell ref="L36:M36"/>
    <mergeCell ref="A33:M33"/>
    <mergeCell ref="A15:E15"/>
    <mergeCell ref="A11:E11"/>
    <mergeCell ref="A12:E12"/>
    <mergeCell ref="A13:E13"/>
    <mergeCell ref="A14:E14"/>
    <mergeCell ref="A22:E22"/>
    <mergeCell ref="A23:E23"/>
    <mergeCell ref="A37:E37"/>
    <mergeCell ref="A39:E39"/>
    <mergeCell ref="H39:I39"/>
    <mergeCell ref="J39:K39"/>
    <mergeCell ref="L39:M39"/>
    <mergeCell ref="A38:E38"/>
    <mergeCell ref="H37:I37"/>
    <mergeCell ref="J37:K37"/>
    <mergeCell ref="L37:M37"/>
    <mergeCell ref="H38:I38"/>
    <mergeCell ref="J38:K38"/>
    <mergeCell ref="L38:M38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O100"/>
  <sheetViews>
    <sheetView view="pageBreakPreview" topLeftCell="A21" zoomScale="90" zoomScaleNormal="100" zoomScaleSheetLayoutView="90" zoomScalePageLayoutView="80" workbookViewId="0">
      <selection activeCell="J37" sqref="J37"/>
    </sheetView>
  </sheetViews>
  <sheetFormatPr defaultRowHeight="15" x14ac:dyDescent="0.25"/>
  <cols>
    <col min="1" max="1" width="4.28515625" style="2" customWidth="1"/>
    <col min="2" max="2" width="5" style="49" customWidth="1"/>
    <col min="3" max="3" width="6.42578125" style="2" bestFit="1" customWidth="1"/>
    <col min="4" max="4" width="88.7109375" style="2" customWidth="1"/>
    <col min="5" max="5" width="25.85546875" style="2" customWidth="1"/>
    <col min="6" max="6" width="24.85546875" style="2" customWidth="1"/>
    <col min="7" max="7" width="9.140625" style="2"/>
    <col min="8" max="8" width="15.85546875" style="2" customWidth="1"/>
    <col min="9" max="9" width="26.5703125" style="2" customWidth="1"/>
    <col min="10" max="10" width="26" style="2" customWidth="1"/>
    <col min="11" max="11" width="4.42578125" style="2" customWidth="1"/>
    <col min="12" max="12" width="9.7109375" style="2" bestFit="1" customWidth="1"/>
    <col min="13" max="13" width="9.140625" style="2"/>
    <col min="14" max="14" width="10.140625" style="2" bestFit="1" customWidth="1"/>
    <col min="15" max="15" width="12.5703125" style="2" bestFit="1" customWidth="1"/>
    <col min="16" max="16384" width="9.140625" style="2"/>
  </cols>
  <sheetData>
    <row r="1" spans="1:12" x14ac:dyDescent="0.25">
      <c r="I1" s="209" t="s">
        <v>99</v>
      </c>
      <c r="J1" s="209"/>
    </row>
    <row r="3" spans="1:12" ht="42" customHeight="1" x14ac:dyDescent="0.25">
      <c r="A3" s="230" t="s">
        <v>107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2" ht="15.75" customHeight="1" x14ac:dyDescent="0.25">
      <c r="A4" s="237" t="s">
        <v>98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2" ht="17.25" x14ac:dyDescent="0.25">
      <c r="A5" s="18"/>
      <c r="B5" s="19"/>
      <c r="C5" s="18"/>
      <c r="D5" s="18"/>
      <c r="E5" s="20"/>
      <c r="F5" s="20"/>
      <c r="G5" s="240"/>
      <c r="H5" s="240"/>
      <c r="I5" s="21"/>
      <c r="J5" s="21"/>
    </row>
    <row r="6" spans="1:12" ht="18" customHeight="1" x14ac:dyDescent="0.25">
      <c r="A6" s="185" t="s">
        <v>93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2" ht="17.25" x14ac:dyDescent="0.25">
      <c r="A7" s="18"/>
      <c r="B7" s="19"/>
      <c r="C7" s="18"/>
      <c r="D7" s="18"/>
      <c r="E7" s="20"/>
      <c r="F7" s="20"/>
      <c r="G7" s="240"/>
      <c r="H7" s="240"/>
      <c r="I7" s="21"/>
      <c r="J7" s="21"/>
    </row>
    <row r="8" spans="1:12" ht="24.75" customHeight="1" x14ac:dyDescent="0.25">
      <c r="A8" s="213" t="s">
        <v>92</v>
      </c>
      <c r="B8" s="214"/>
      <c r="C8" s="214"/>
      <c r="D8" s="215"/>
      <c r="E8" s="24" t="s">
        <v>81</v>
      </c>
      <c r="F8" s="24" t="s">
        <v>90</v>
      </c>
      <c r="G8" s="238" t="s">
        <v>83</v>
      </c>
      <c r="H8" s="239"/>
      <c r="I8" s="25" t="s">
        <v>85</v>
      </c>
      <c r="J8" s="25" t="s">
        <v>85</v>
      </c>
    </row>
    <row r="9" spans="1:12" ht="17.25" customHeight="1" x14ac:dyDescent="0.25">
      <c r="A9" s="216"/>
      <c r="B9" s="217"/>
      <c r="C9" s="217"/>
      <c r="D9" s="218"/>
      <c r="E9" s="13">
        <v>2024</v>
      </c>
      <c r="F9" s="13">
        <v>2025</v>
      </c>
      <c r="G9" s="241">
        <v>2026</v>
      </c>
      <c r="H9" s="242"/>
      <c r="I9" s="90">
        <v>2027</v>
      </c>
      <c r="J9" s="91">
        <v>2028</v>
      </c>
    </row>
    <row r="10" spans="1:12" ht="17.25" customHeight="1" x14ac:dyDescent="0.25">
      <c r="A10" s="210" t="s">
        <v>91</v>
      </c>
      <c r="B10" s="211"/>
      <c r="C10" s="211"/>
      <c r="D10" s="212"/>
      <c r="E10" s="135">
        <v>1980138</v>
      </c>
      <c r="F10" s="135">
        <f>F11+F15+F18+F21+F26</f>
        <v>3380713</v>
      </c>
      <c r="G10" s="228">
        <f>G26+G21+G18+G15</f>
        <v>3670000</v>
      </c>
      <c r="H10" s="229"/>
      <c r="I10" s="137">
        <f>I15+I18+I21+I26</f>
        <v>3848501.7</v>
      </c>
      <c r="J10" s="138">
        <f>J15+J18+J21+J26</f>
        <v>4035927.6850000001</v>
      </c>
      <c r="L10" s="149"/>
    </row>
    <row r="11" spans="1:12" ht="15.75" x14ac:dyDescent="0.25">
      <c r="A11" s="256">
        <v>6</v>
      </c>
      <c r="B11" s="225" t="s">
        <v>5</v>
      </c>
      <c r="C11" s="227"/>
      <c r="D11" s="226"/>
      <c r="E11" s="29">
        <f>E12+E15+E18+E21+E26</f>
        <v>1980138.46</v>
      </c>
      <c r="F11" s="29">
        <f>F12</f>
        <v>0</v>
      </c>
      <c r="G11" s="219">
        <v>0</v>
      </c>
      <c r="H11" s="220"/>
      <c r="I11" s="31">
        <v>0</v>
      </c>
      <c r="J11" s="30">
        <v>0</v>
      </c>
    </row>
    <row r="12" spans="1:12" ht="15.75" customHeight="1" x14ac:dyDescent="0.25">
      <c r="A12" s="257"/>
      <c r="B12" s="27">
        <v>63</v>
      </c>
      <c r="C12" s="225" t="s">
        <v>68</v>
      </c>
      <c r="D12" s="226"/>
      <c r="E12" s="29">
        <f>SUM(E13)</f>
        <v>18020</v>
      </c>
      <c r="F12" s="29">
        <v>0</v>
      </c>
      <c r="G12" s="219">
        <v>0</v>
      </c>
      <c r="H12" s="220"/>
      <c r="I12" s="32">
        <v>0</v>
      </c>
      <c r="J12" s="32">
        <v>0</v>
      </c>
    </row>
    <row r="13" spans="1:12" ht="15.75" x14ac:dyDescent="0.25">
      <c r="A13" s="257"/>
      <c r="B13" s="245">
        <v>634</v>
      </c>
      <c r="C13" s="246"/>
      <c r="D13" s="41" t="s">
        <v>76</v>
      </c>
      <c r="E13" s="29">
        <f>SUM(E14)</f>
        <v>18020</v>
      </c>
      <c r="F13" s="29">
        <v>0</v>
      </c>
      <c r="G13" s="219">
        <v>0</v>
      </c>
      <c r="H13" s="220"/>
      <c r="I13" s="31">
        <v>0</v>
      </c>
      <c r="J13" s="31">
        <v>0</v>
      </c>
    </row>
    <row r="14" spans="1:12" ht="15.75" x14ac:dyDescent="0.25">
      <c r="A14" s="257"/>
      <c r="B14" s="247">
        <v>6341</v>
      </c>
      <c r="C14" s="248"/>
      <c r="D14" s="35" t="s">
        <v>104</v>
      </c>
      <c r="E14" s="36">
        <v>18020</v>
      </c>
      <c r="F14" s="36">
        <v>0</v>
      </c>
      <c r="G14" s="221">
        <v>0</v>
      </c>
      <c r="H14" s="222"/>
      <c r="I14" s="32">
        <v>0</v>
      </c>
      <c r="J14" s="32">
        <v>0</v>
      </c>
    </row>
    <row r="15" spans="1:12" ht="15.75" x14ac:dyDescent="0.25">
      <c r="A15" s="257"/>
      <c r="B15" s="259">
        <v>64</v>
      </c>
      <c r="C15" s="260"/>
      <c r="D15" s="40" t="s">
        <v>58</v>
      </c>
      <c r="E15" s="29">
        <f>SUM(E16)</f>
        <v>8</v>
      </c>
      <c r="F15" s="29">
        <f>SUM(F16)</f>
        <v>10</v>
      </c>
      <c r="G15" s="219">
        <v>1</v>
      </c>
      <c r="H15" s="220"/>
      <c r="I15" s="31">
        <f>SUM(I16)</f>
        <v>3</v>
      </c>
      <c r="J15" s="31">
        <f>SUM(J16)</f>
        <v>4</v>
      </c>
    </row>
    <row r="16" spans="1:12" ht="15.75" x14ac:dyDescent="0.25">
      <c r="A16" s="257"/>
      <c r="B16" s="245">
        <v>641</v>
      </c>
      <c r="C16" s="246"/>
      <c r="D16" s="41" t="s">
        <v>105</v>
      </c>
      <c r="E16" s="29">
        <v>8</v>
      </c>
      <c r="F16" s="29">
        <f>SUM(F17)</f>
        <v>10</v>
      </c>
      <c r="G16" s="219">
        <f>SUM(G17)</f>
        <v>1</v>
      </c>
      <c r="H16" s="220"/>
      <c r="I16" s="31">
        <f>SUM(I17)</f>
        <v>3</v>
      </c>
      <c r="J16" s="31">
        <f>SUM(J17)</f>
        <v>4</v>
      </c>
      <c r="L16" s="149"/>
    </row>
    <row r="17" spans="1:15" ht="15.75" x14ac:dyDescent="0.25">
      <c r="A17" s="257"/>
      <c r="B17" s="247">
        <v>6341</v>
      </c>
      <c r="C17" s="248"/>
      <c r="D17" s="35" t="s">
        <v>106</v>
      </c>
      <c r="E17" s="36">
        <v>7.77</v>
      </c>
      <c r="F17" s="36">
        <v>10</v>
      </c>
      <c r="G17" s="195">
        <v>1</v>
      </c>
      <c r="H17" s="196"/>
      <c r="I17" s="32">
        <v>3</v>
      </c>
      <c r="J17" s="37">
        <v>4</v>
      </c>
    </row>
    <row r="18" spans="1:15" ht="15.75" customHeight="1" x14ac:dyDescent="0.25">
      <c r="A18" s="257"/>
      <c r="B18" s="38">
        <v>65</v>
      </c>
      <c r="C18" s="223" t="s">
        <v>67</v>
      </c>
      <c r="D18" s="224"/>
      <c r="E18" s="29">
        <f t="shared" ref="E18:G19" si="0">SUM(E19)</f>
        <v>828635.76</v>
      </c>
      <c r="F18" s="29">
        <f t="shared" si="0"/>
        <v>2182859</v>
      </c>
      <c r="G18" s="219">
        <f t="shared" si="0"/>
        <v>2674805</v>
      </c>
      <c r="H18" s="220"/>
      <c r="I18" s="31">
        <f>I19</f>
        <v>2803545</v>
      </c>
      <c r="J18" s="30">
        <f>SUM(J19)</f>
        <v>2938722</v>
      </c>
    </row>
    <row r="19" spans="1:15" ht="15.75" x14ac:dyDescent="0.25">
      <c r="A19" s="257"/>
      <c r="B19" s="245">
        <v>652</v>
      </c>
      <c r="C19" s="246"/>
      <c r="D19" s="41" t="s">
        <v>21</v>
      </c>
      <c r="E19" s="29">
        <f t="shared" si="0"/>
        <v>828635.76</v>
      </c>
      <c r="F19" s="29">
        <f t="shared" si="0"/>
        <v>2182859</v>
      </c>
      <c r="G19" s="219">
        <f t="shared" si="0"/>
        <v>2674805</v>
      </c>
      <c r="H19" s="220"/>
      <c r="I19" s="31">
        <f>SUM(I20)</f>
        <v>2803545</v>
      </c>
      <c r="J19" s="31">
        <f>SUM(J20)</f>
        <v>2938722</v>
      </c>
    </row>
    <row r="20" spans="1:15" ht="15.75" x14ac:dyDescent="0.25">
      <c r="A20" s="257"/>
      <c r="B20" s="247">
        <v>6526</v>
      </c>
      <c r="C20" s="248"/>
      <c r="D20" s="35" t="s">
        <v>108</v>
      </c>
      <c r="E20" s="36">
        <v>828635.76</v>
      </c>
      <c r="F20" s="36">
        <v>2182859</v>
      </c>
      <c r="G20" s="221">
        <v>2674805</v>
      </c>
      <c r="H20" s="222"/>
      <c r="I20" s="32">
        <v>2803545</v>
      </c>
      <c r="J20" s="32">
        <v>2938722</v>
      </c>
    </row>
    <row r="21" spans="1:15" ht="18.75" customHeight="1" x14ac:dyDescent="0.25">
      <c r="A21" s="257"/>
      <c r="B21" s="38">
        <v>66</v>
      </c>
      <c r="C21" s="223" t="s">
        <v>112</v>
      </c>
      <c r="D21" s="224"/>
      <c r="E21" s="29">
        <f>E22+E24</f>
        <v>250816.25</v>
      </c>
      <c r="F21" s="29">
        <f>SUM(F22)</f>
        <v>204350</v>
      </c>
      <c r="G21" s="219">
        <f>SUM(G22)</f>
        <v>300400</v>
      </c>
      <c r="H21" s="220"/>
      <c r="I21" s="31">
        <f>SUM(I22)</f>
        <v>315420</v>
      </c>
      <c r="J21" s="31">
        <f>J22</f>
        <v>331191</v>
      </c>
    </row>
    <row r="22" spans="1:15" s="71" customFormat="1" ht="15.75" x14ac:dyDescent="0.25">
      <c r="A22" s="257"/>
      <c r="B22" s="245">
        <v>661</v>
      </c>
      <c r="C22" s="246"/>
      <c r="D22" s="41" t="s">
        <v>109</v>
      </c>
      <c r="E22" s="29">
        <f>SUM(E23)</f>
        <v>247224.35</v>
      </c>
      <c r="F22" s="29">
        <f>SUM(F23)</f>
        <v>204350</v>
      </c>
      <c r="G22" s="219">
        <f>SUM(G23)</f>
        <v>300400</v>
      </c>
      <c r="H22" s="220"/>
      <c r="I22" s="31">
        <f>SUM(I23)</f>
        <v>315420</v>
      </c>
      <c r="J22" s="31">
        <f>SUM(J23)</f>
        <v>331191</v>
      </c>
    </row>
    <row r="23" spans="1:15" ht="15.75" x14ac:dyDescent="0.25">
      <c r="A23" s="257"/>
      <c r="B23" s="247">
        <v>6615</v>
      </c>
      <c r="C23" s="248"/>
      <c r="D23" s="35" t="s">
        <v>110</v>
      </c>
      <c r="E23" s="36">
        <v>247224.35</v>
      </c>
      <c r="F23" s="36">
        <v>204350</v>
      </c>
      <c r="G23" s="221">
        <v>300400</v>
      </c>
      <c r="H23" s="222"/>
      <c r="I23" s="32">
        <f>G23*5%+300400</f>
        <v>315420</v>
      </c>
      <c r="J23" s="32">
        <f>I23*5%+315420</f>
        <v>331191</v>
      </c>
      <c r="L23" s="149"/>
    </row>
    <row r="24" spans="1:15" ht="15.75" x14ac:dyDescent="0.25">
      <c r="A24" s="257"/>
      <c r="B24" s="245">
        <v>663</v>
      </c>
      <c r="C24" s="246"/>
      <c r="D24" s="41" t="s">
        <v>111</v>
      </c>
      <c r="E24" s="29">
        <f>SUM(E25)</f>
        <v>3591.9</v>
      </c>
      <c r="F24" s="36">
        <f>SUM(F25)</f>
        <v>0</v>
      </c>
      <c r="G24" s="221">
        <v>0</v>
      </c>
      <c r="H24" s="222"/>
      <c r="I24" s="32">
        <v>0</v>
      </c>
      <c r="J24" s="32">
        <v>0</v>
      </c>
      <c r="L24" s="149"/>
    </row>
    <row r="25" spans="1:15" ht="15.75" x14ac:dyDescent="0.25">
      <c r="A25" s="257"/>
      <c r="B25" s="247">
        <v>6632</v>
      </c>
      <c r="C25" s="248"/>
      <c r="D25" s="35" t="s">
        <v>59</v>
      </c>
      <c r="E25" s="36">
        <v>3591.9</v>
      </c>
      <c r="F25" s="36">
        <v>0</v>
      </c>
      <c r="G25" s="221">
        <v>0</v>
      </c>
      <c r="H25" s="222"/>
      <c r="I25" s="32">
        <v>0</v>
      </c>
      <c r="J25" s="32">
        <v>0</v>
      </c>
    </row>
    <row r="26" spans="1:15" ht="21" customHeight="1" x14ac:dyDescent="0.25">
      <c r="A26" s="257"/>
      <c r="B26" s="38">
        <v>67</v>
      </c>
      <c r="C26" s="225" t="s">
        <v>20</v>
      </c>
      <c r="D26" s="226"/>
      <c r="E26" s="29">
        <f>SUM(E27)</f>
        <v>882658.45</v>
      </c>
      <c r="F26" s="29">
        <f>SUM(F27)</f>
        <v>993494</v>
      </c>
      <c r="G26" s="231">
        <f>SUM(G27)</f>
        <v>694794</v>
      </c>
      <c r="H26" s="232"/>
      <c r="I26" s="42">
        <f>SUM(I27)</f>
        <v>729533.7</v>
      </c>
      <c r="J26" s="42">
        <f>SUM(J27)</f>
        <v>766010.68499999994</v>
      </c>
    </row>
    <row r="27" spans="1:15" s="71" customFormat="1" ht="15.75" x14ac:dyDescent="0.25">
      <c r="A27" s="257"/>
      <c r="B27" s="245">
        <v>671</v>
      </c>
      <c r="C27" s="246"/>
      <c r="D27" s="28" t="s">
        <v>113</v>
      </c>
      <c r="E27" s="29">
        <f>SUM(E28:E29)</f>
        <v>882658.45</v>
      </c>
      <c r="F27" s="29">
        <f>SUM(F28:F29)</f>
        <v>993494</v>
      </c>
      <c r="G27" s="219">
        <f>SUM(G28:H29)</f>
        <v>694794</v>
      </c>
      <c r="H27" s="220"/>
      <c r="I27" s="31">
        <f>SUM(I28:I29)</f>
        <v>729533.7</v>
      </c>
      <c r="J27" s="31">
        <f>SUM(J28:J29)</f>
        <v>766010.68499999994</v>
      </c>
      <c r="L27" s="148"/>
    </row>
    <row r="28" spans="1:15" ht="15.75" x14ac:dyDescent="0.25">
      <c r="A28" s="257"/>
      <c r="B28" s="247">
        <v>6711</v>
      </c>
      <c r="C28" s="248"/>
      <c r="D28" s="35" t="s">
        <v>114</v>
      </c>
      <c r="E28" s="36">
        <v>876309</v>
      </c>
      <c r="F28" s="36">
        <v>953677</v>
      </c>
      <c r="G28" s="221">
        <v>654977</v>
      </c>
      <c r="H28" s="222"/>
      <c r="I28" s="32">
        <f>G28*5%+654977</f>
        <v>687725.85</v>
      </c>
      <c r="J28" s="32">
        <f>I28*5%+687726</f>
        <v>722112.29249999998</v>
      </c>
    </row>
    <row r="29" spans="1:15" ht="15.75" x14ac:dyDescent="0.25">
      <c r="A29" s="258"/>
      <c r="B29" s="247">
        <v>6712</v>
      </c>
      <c r="C29" s="248"/>
      <c r="D29" s="35" t="s">
        <v>115</v>
      </c>
      <c r="E29" s="36">
        <v>6349.45</v>
      </c>
      <c r="F29" s="36">
        <v>39817</v>
      </c>
      <c r="G29" s="221">
        <v>39817</v>
      </c>
      <c r="H29" s="222"/>
      <c r="I29" s="32">
        <f>G29*5%+39817</f>
        <v>41807.85</v>
      </c>
      <c r="J29" s="32">
        <f>I29*5%+41808</f>
        <v>43898.392500000002</v>
      </c>
    </row>
    <row r="30" spans="1:15" ht="15.75" x14ac:dyDescent="0.25">
      <c r="A30" s="256">
        <v>9</v>
      </c>
      <c r="B30" s="225">
        <v>92</v>
      </c>
      <c r="C30" s="226"/>
      <c r="D30" s="28" t="s">
        <v>118</v>
      </c>
      <c r="E30" s="29">
        <v>-22988</v>
      </c>
      <c r="F30" s="29">
        <v>-22988</v>
      </c>
      <c r="G30" s="219">
        <v>-100000</v>
      </c>
      <c r="H30" s="220"/>
      <c r="I30" s="31">
        <v>-100000</v>
      </c>
      <c r="J30" s="31">
        <v>-100000</v>
      </c>
      <c r="O30" s="46"/>
    </row>
    <row r="31" spans="1:15" ht="15.75" x14ac:dyDescent="0.25">
      <c r="A31" s="257"/>
      <c r="B31" s="245">
        <v>922</v>
      </c>
      <c r="C31" s="246"/>
      <c r="D31" s="43" t="s">
        <v>119</v>
      </c>
      <c r="E31" s="36">
        <v>-22988</v>
      </c>
      <c r="F31" s="36">
        <v>-22988</v>
      </c>
      <c r="G31" s="221">
        <v>-100000</v>
      </c>
      <c r="H31" s="222"/>
      <c r="I31" s="32">
        <v>-100000</v>
      </c>
      <c r="J31" s="32">
        <v>-100000</v>
      </c>
      <c r="N31" s="46"/>
    </row>
    <row r="32" spans="1:15" ht="15.75" x14ac:dyDescent="0.25">
      <c r="A32" s="257"/>
      <c r="B32" s="247">
        <v>9221</v>
      </c>
      <c r="C32" s="248"/>
      <c r="D32" s="43" t="s">
        <v>117</v>
      </c>
      <c r="E32" s="36">
        <v>0</v>
      </c>
      <c r="F32" s="36">
        <v>0</v>
      </c>
      <c r="G32" s="221">
        <v>0</v>
      </c>
      <c r="H32" s="222"/>
      <c r="I32" s="32">
        <v>0</v>
      </c>
      <c r="J32" s="32">
        <v>0</v>
      </c>
    </row>
    <row r="33" spans="1:10" ht="15.75" x14ac:dyDescent="0.25">
      <c r="A33" s="258"/>
      <c r="B33" s="247">
        <v>9222</v>
      </c>
      <c r="C33" s="248"/>
      <c r="D33" s="43" t="s">
        <v>116</v>
      </c>
      <c r="E33" s="36">
        <v>-22988</v>
      </c>
      <c r="F33" s="36">
        <v>-22988</v>
      </c>
      <c r="G33" s="221">
        <v>-100000</v>
      </c>
      <c r="H33" s="222"/>
      <c r="I33" s="32">
        <v>-100000</v>
      </c>
      <c r="J33" s="32">
        <v>-100000</v>
      </c>
    </row>
    <row r="34" spans="1:10" x14ac:dyDescent="0.25">
      <c r="D34" s="50"/>
      <c r="E34" s="51"/>
      <c r="F34" s="51"/>
      <c r="G34" s="255"/>
      <c r="H34" s="255"/>
      <c r="J34" s="4"/>
    </row>
    <row r="35" spans="1:10" ht="20.25" customHeight="1" x14ac:dyDescent="0.25">
      <c r="A35" s="249" t="s">
        <v>120</v>
      </c>
      <c r="B35" s="250"/>
      <c r="C35" s="250"/>
      <c r="D35" s="251"/>
      <c r="E35" s="24" t="s">
        <v>81</v>
      </c>
      <c r="F35" s="24" t="s">
        <v>121</v>
      </c>
      <c r="G35" s="243" t="s">
        <v>83</v>
      </c>
      <c r="H35" s="244"/>
      <c r="I35" s="25" t="s">
        <v>85</v>
      </c>
      <c r="J35" s="25" t="s">
        <v>85</v>
      </c>
    </row>
    <row r="36" spans="1:10" ht="20.25" customHeight="1" x14ac:dyDescent="0.25">
      <c r="A36" s="252"/>
      <c r="B36" s="253"/>
      <c r="C36" s="253"/>
      <c r="D36" s="254"/>
      <c r="E36" s="24">
        <v>2024</v>
      </c>
      <c r="F36" s="24">
        <v>2025</v>
      </c>
      <c r="G36" s="243">
        <v>2026</v>
      </c>
      <c r="H36" s="244"/>
      <c r="I36" s="25">
        <v>2027</v>
      </c>
      <c r="J36" s="25">
        <v>2028</v>
      </c>
    </row>
    <row r="37" spans="1:10" s="48" customFormat="1" ht="16.5" customHeight="1" x14ac:dyDescent="0.2">
      <c r="A37" s="269" t="s">
        <v>185</v>
      </c>
      <c r="B37" s="270"/>
      <c r="C37" s="270"/>
      <c r="D37" s="271"/>
      <c r="E37" s="135">
        <f>E38+E81</f>
        <v>2034674.78</v>
      </c>
      <c r="F37" s="135">
        <f>F38+F81</f>
        <v>3380712.65</v>
      </c>
      <c r="G37" s="273">
        <f>G38+G81</f>
        <v>3670000</v>
      </c>
      <c r="H37" s="274"/>
      <c r="I37" s="136">
        <f>I38+I81</f>
        <v>3848502</v>
      </c>
      <c r="J37" s="150">
        <f>J38+J81</f>
        <v>4035928.5</v>
      </c>
    </row>
    <row r="38" spans="1:10" ht="15.75" x14ac:dyDescent="0.25">
      <c r="A38" s="275">
        <v>3</v>
      </c>
      <c r="B38" s="225" t="s">
        <v>7</v>
      </c>
      <c r="C38" s="227"/>
      <c r="D38" s="226"/>
      <c r="E38" s="29">
        <f>E39+E48+E77</f>
        <v>2021643.16</v>
      </c>
      <c r="F38" s="29">
        <f>F39+F48+F77</f>
        <v>3317895.65</v>
      </c>
      <c r="G38" s="235">
        <f>G39+G48+G77</f>
        <v>3595000</v>
      </c>
      <c r="H38" s="236"/>
      <c r="I38" s="127">
        <f>I39+I48+I77</f>
        <v>3774752</v>
      </c>
      <c r="J38" s="128">
        <f>J39+J48+J77</f>
        <v>3958489.5</v>
      </c>
    </row>
    <row r="39" spans="1:10" ht="15.75" x14ac:dyDescent="0.25">
      <c r="A39" s="276"/>
      <c r="B39" s="123">
        <v>31</v>
      </c>
      <c r="C39" s="124"/>
      <c r="D39" s="28" t="s">
        <v>8</v>
      </c>
      <c r="E39" s="108">
        <f>E40+E44+E46</f>
        <v>1533113.64</v>
      </c>
      <c r="F39" s="108">
        <f>F40+F44+F46</f>
        <v>2265191</v>
      </c>
      <c r="G39" s="233">
        <f>G40+G44+G46</f>
        <v>2608250</v>
      </c>
      <c r="H39" s="234"/>
      <c r="I39" s="31">
        <f>I40+I44+I46</f>
        <v>2738662.5</v>
      </c>
      <c r="J39" s="31">
        <f>J40+J44+J46</f>
        <v>2870596.125</v>
      </c>
    </row>
    <row r="40" spans="1:10" ht="15.75" x14ac:dyDescent="0.25">
      <c r="A40" s="276"/>
      <c r="B40" s="263">
        <v>311</v>
      </c>
      <c r="C40" s="264"/>
      <c r="D40" s="28" t="s">
        <v>122</v>
      </c>
      <c r="E40" s="108">
        <f>SUM(E41:E43)</f>
        <v>1256812.6399999999</v>
      </c>
      <c r="F40" s="29">
        <f>SUM(F41:F43)</f>
        <v>1876398</v>
      </c>
      <c r="G40" s="219">
        <f>SUM(G41:H43)</f>
        <v>2180000</v>
      </c>
      <c r="H40" s="220"/>
      <c r="I40" s="31">
        <f>SUM(I41:I42)</f>
        <v>2289000</v>
      </c>
      <c r="J40" s="31">
        <f>SUM(J41:J42)</f>
        <v>2398450</v>
      </c>
    </row>
    <row r="41" spans="1:10" ht="15.75" x14ac:dyDescent="0.25">
      <c r="A41" s="276"/>
      <c r="B41" s="261">
        <v>3111</v>
      </c>
      <c r="C41" s="262"/>
      <c r="D41" s="43" t="s">
        <v>123</v>
      </c>
      <c r="E41" s="110">
        <v>1187878.1399999999</v>
      </c>
      <c r="F41" s="36">
        <v>1853561</v>
      </c>
      <c r="G41" s="221">
        <v>2160000</v>
      </c>
      <c r="H41" s="222"/>
      <c r="I41" s="32">
        <v>2268000</v>
      </c>
      <c r="J41" s="32">
        <v>2376400</v>
      </c>
    </row>
    <row r="42" spans="1:10" ht="15.75" x14ac:dyDescent="0.25">
      <c r="A42" s="276"/>
      <c r="B42" s="261">
        <v>3113</v>
      </c>
      <c r="C42" s="262"/>
      <c r="D42" s="43" t="s">
        <v>124</v>
      </c>
      <c r="E42" s="110">
        <v>47298</v>
      </c>
      <c r="F42" s="36">
        <v>20000</v>
      </c>
      <c r="G42" s="221">
        <v>20000</v>
      </c>
      <c r="H42" s="222"/>
      <c r="I42" s="32">
        <f>G42*5%+20000</f>
        <v>21000</v>
      </c>
      <c r="J42" s="32">
        <f>I42*5%+21000</f>
        <v>22050</v>
      </c>
    </row>
    <row r="43" spans="1:10" ht="15.75" x14ac:dyDescent="0.25">
      <c r="A43" s="276"/>
      <c r="B43" s="261">
        <v>3114</v>
      </c>
      <c r="C43" s="262"/>
      <c r="D43" s="43" t="s">
        <v>125</v>
      </c>
      <c r="E43" s="110">
        <v>21636.5</v>
      </c>
      <c r="F43" s="36">
        <v>2837</v>
      </c>
      <c r="G43" s="221">
        <v>0</v>
      </c>
      <c r="H43" s="222"/>
      <c r="I43" s="32">
        <v>0</v>
      </c>
      <c r="J43" s="32">
        <v>0</v>
      </c>
    </row>
    <row r="44" spans="1:10" ht="15.75" x14ac:dyDescent="0.25">
      <c r="A44" s="276"/>
      <c r="B44" s="263">
        <v>312</v>
      </c>
      <c r="C44" s="264"/>
      <c r="D44" s="40" t="s">
        <v>126</v>
      </c>
      <c r="E44" s="108">
        <f>SUM(E45)</f>
        <v>71866</v>
      </c>
      <c r="F44" s="29">
        <f>SUM(F45)</f>
        <v>95000</v>
      </c>
      <c r="G44" s="219">
        <f>SUM(G45)</f>
        <v>88350</v>
      </c>
      <c r="H44" s="220"/>
      <c r="I44" s="31">
        <f>SUM(I45)</f>
        <v>92767.5</v>
      </c>
      <c r="J44" s="31">
        <f>SUM(J45)</f>
        <v>97406.375</v>
      </c>
    </row>
    <row r="45" spans="1:10" ht="15.75" x14ac:dyDescent="0.25">
      <c r="A45" s="276"/>
      <c r="B45" s="261">
        <v>3121</v>
      </c>
      <c r="C45" s="262"/>
      <c r="D45" s="129" t="s">
        <v>126</v>
      </c>
      <c r="E45" s="110">
        <v>71866</v>
      </c>
      <c r="F45" s="36">
        <v>95000</v>
      </c>
      <c r="G45" s="221">
        <v>88350</v>
      </c>
      <c r="H45" s="222"/>
      <c r="I45" s="32">
        <f>G45*5%+88350</f>
        <v>92767.5</v>
      </c>
      <c r="J45" s="32">
        <f>I45*5%+92768</f>
        <v>97406.375</v>
      </c>
    </row>
    <row r="46" spans="1:10" ht="15.75" x14ac:dyDescent="0.25">
      <c r="A46" s="276"/>
      <c r="B46" s="263">
        <v>313</v>
      </c>
      <c r="C46" s="264"/>
      <c r="D46" s="40" t="s">
        <v>127</v>
      </c>
      <c r="E46" s="108">
        <f>SUM(E47)</f>
        <v>204435</v>
      </c>
      <c r="F46" s="29">
        <f>SUM(F47)</f>
        <v>293793</v>
      </c>
      <c r="G46" s="219">
        <f>SUM(G47)</f>
        <v>339900</v>
      </c>
      <c r="H46" s="220"/>
      <c r="I46" s="31">
        <f>SUM(I47)</f>
        <v>356895</v>
      </c>
      <c r="J46" s="31">
        <f>SUM(J47)</f>
        <v>374739.75</v>
      </c>
    </row>
    <row r="47" spans="1:10" ht="15.75" x14ac:dyDescent="0.25">
      <c r="A47" s="276"/>
      <c r="B47" s="261">
        <v>3132</v>
      </c>
      <c r="C47" s="262"/>
      <c r="D47" s="129" t="s">
        <v>128</v>
      </c>
      <c r="E47" s="132">
        <v>204435</v>
      </c>
      <c r="F47" s="134">
        <v>293793</v>
      </c>
      <c r="G47" s="221">
        <v>339900</v>
      </c>
      <c r="H47" s="222"/>
      <c r="I47" s="133">
        <f>G47*5%+339900</f>
        <v>356895</v>
      </c>
      <c r="J47" s="133">
        <f>I47*5%+356895</f>
        <v>374739.75</v>
      </c>
    </row>
    <row r="48" spans="1:10" ht="15.75" x14ac:dyDescent="0.25">
      <c r="A48" s="276"/>
      <c r="B48" s="259">
        <v>32</v>
      </c>
      <c r="C48" s="260"/>
      <c r="D48" s="40" t="s">
        <v>16</v>
      </c>
      <c r="E48" s="108">
        <f>E49+E54+E61+E71</f>
        <v>486622.45999999996</v>
      </c>
      <c r="F48" s="29">
        <f>F49+F54+F61+F71</f>
        <v>1050604.6499999999</v>
      </c>
      <c r="G48" s="219">
        <f>G49+G54+G61+G71</f>
        <v>979750</v>
      </c>
      <c r="H48" s="220"/>
      <c r="I48" s="31">
        <f>I49+I54+I61+I71</f>
        <v>1028739.5</v>
      </c>
      <c r="J48" s="31">
        <f>J49+J54+J61+J71</f>
        <v>1080175.875</v>
      </c>
    </row>
    <row r="49" spans="1:10" ht="15.75" x14ac:dyDescent="0.25">
      <c r="A49" s="276"/>
      <c r="B49" s="267" t="s">
        <v>129</v>
      </c>
      <c r="C49" s="268"/>
      <c r="D49" s="40" t="s">
        <v>130</v>
      </c>
      <c r="E49" s="108">
        <f>SUM(E50:E53)</f>
        <v>42199.18</v>
      </c>
      <c r="F49" s="29">
        <f>SUM(F50:F53)</f>
        <v>95000</v>
      </c>
      <c r="G49" s="219">
        <f>SUM(G50:H53)</f>
        <v>90000</v>
      </c>
      <c r="H49" s="220"/>
      <c r="I49" s="31">
        <f>SUM(I50:I53)</f>
        <v>94500</v>
      </c>
      <c r="J49" s="31">
        <f>SUM(J50:J53)</f>
        <v>99225</v>
      </c>
    </row>
    <row r="50" spans="1:10" ht="15.75" x14ac:dyDescent="0.25">
      <c r="A50" s="276"/>
      <c r="B50" s="265" t="s">
        <v>131</v>
      </c>
      <c r="C50" s="266"/>
      <c r="D50" s="43" t="s">
        <v>132</v>
      </c>
      <c r="E50" s="110">
        <v>581.95000000000005</v>
      </c>
      <c r="F50" s="36">
        <v>10000</v>
      </c>
      <c r="G50" s="221">
        <v>10000</v>
      </c>
      <c r="H50" s="222"/>
      <c r="I50" s="32">
        <v>10500</v>
      </c>
      <c r="J50" s="32">
        <v>11025</v>
      </c>
    </row>
    <row r="51" spans="1:10" ht="15.75" x14ac:dyDescent="0.25">
      <c r="A51" s="276"/>
      <c r="B51" s="265" t="s">
        <v>133</v>
      </c>
      <c r="C51" s="266"/>
      <c r="D51" s="43" t="s">
        <v>134</v>
      </c>
      <c r="E51" s="110">
        <v>40655.230000000003</v>
      </c>
      <c r="F51" s="36">
        <v>70000</v>
      </c>
      <c r="G51" s="221">
        <v>68000</v>
      </c>
      <c r="H51" s="222"/>
      <c r="I51" s="32">
        <f>G51*5%+68000</f>
        <v>71400</v>
      </c>
      <c r="J51" s="32">
        <f>I51*5%+71400</f>
        <v>74970</v>
      </c>
    </row>
    <row r="52" spans="1:10" ht="15.75" x14ac:dyDescent="0.25">
      <c r="A52" s="276"/>
      <c r="B52" s="265" t="s">
        <v>135</v>
      </c>
      <c r="C52" s="266"/>
      <c r="D52" s="129" t="s">
        <v>136</v>
      </c>
      <c r="E52" s="110">
        <v>643.5</v>
      </c>
      <c r="F52" s="36">
        <v>10000</v>
      </c>
      <c r="G52" s="221">
        <v>10000</v>
      </c>
      <c r="H52" s="222"/>
      <c r="I52" s="32">
        <v>10500</v>
      </c>
      <c r="J52" s="32">
        <v>11025</v>
      </c>
    </row>
    <row r="53" spans="1:10" ht="15.75" x14ac:dyDescent="0.25">
      <c r="A53" s="276"/>
      <c r="B53" s="265" t="s">
        <v>137</v>
      </c>
      <c r="C53" s="266"/>
      <c r="D53" s="129" t="s">
        <v>138</v>
      </c>
      <c r="E53" s="110">
        <v>318.5</v>
      </c>
      <c r="F53" s="36">
        <v>5000</v>
      </c>
      <c r="G53" s="221">
        <v>2000</v>
      </c>
      <c r="H53" s="222"/>
      <c r="I53" s="32">
        <f>G53*5%+2000</f>
        <v>2100</v>
      </c>
      <c r="J53" s="32">
        <f>I53*5%+2100</f>
        <v>2205</v>
      </c>
    </row>
    <row r="54" spans="1:10" ht="15.75" x14ac:dyDescent="0.25">
      <c r="A54" s="276"/>
      <c r="B54" s="267" t="s">
        <v>139</v>
      </c>
      <c r="C54" s="268"/>
      <c r="D54" s="40" t="s">
        <v>140</v>
      </c>
      <c r="E54" s="108">
        <f>SUM(E55:E60)</f>
        <v>324228.96999999997</v>
      </c>
      <c r="F54" s="29">
        <f>SUM(F55:F60)</f>
        <v>663085</v>
      </c>
      <c r="G54" s="219">
        <f>SUM(G55:H60)</f>
        <v>645950</v>
      </c>
      <c r="H54" s="220"/>
      <c r="I54" s="31">
        <f>SUM(I55:I60)</f>
        <v>678247.5</v>
      </c>
      <c r="J54" s="31">
        <f>SUM(J55:J60)</f>
        <v>712160.375</v>
      </c>
    </row>
    <row r="55" spans="1:10" ht="15.75" x14ac:dyDescent="0.25">
      <c r="A55" s="276"/>
      <c r="B55" s="265" t="s">
        <v>141</v>
      </c>
      <c r="C55" s="266"/>
      <c r="D55" s="129" t="s">
        <v>142</v>
      </c>
      <c r="E55" s="110">
        <v>22278.06</v>
      </c>
      <c r="F55" s="36">
        <v>45000</v>
      </c>
      <c r="G55" s="221">
        <v>50000</v>
      </c>
      <c r="H55" s="222"/>
      <c r="I55" s="32">
        <f>G55*5%+50000</f>
        <v>52500</v>
      </c>
      <c r="J55" s="32">
        <f>I55*5%+52500</f>
        <v>55125</v>
      </c>
    </row>
    <row r="56" spans="1:10" ht="15.75" x14ac:dyDescent="0.25">
      <c r="A56" s="276"/>
      <c r="B56" s="265" t="s">
        <v>143</v>
      </c>
      <c r="C56" s="266"/>
      <c r="D56" s="129" t="s">
        <v>144</v>
      </c>
      <c r="E56" s="110">
        <v>191654</v>
      </c>
      <c r="F56" s="36">
        <v>361130</v>
      </c>
      <c r="G56" s="221">
        <v>400000</v>
      </c>
      <c r="H56" s="222"/>
      <c r="I56" s="32">
        <f>G56*5%+400000</f>
        <v>420000</v>
      </c>
      <c r="J56" s="32">
        <f>I56*5%+420000</f>
        <v>441000</v>
      </c>
    </row>
    <row r="57" spans="1:10" ht="15.75" x14ac:dyDescent="0.25">
      <c r="A57" s="276"/>
      <c r="B57" s="265" t="s">
        <v>145</v>
      </c>
      <c r="C57" s="266"/>
      <c r="D57" s="129" t="s">
        <v>146</v>
      </c>
      <c r="E57" s="110">
        <v>90411.23</v>
      </c>
      <c r="F57" s="36">
        <v>206955</v>
      </c>
      <c r="G57" s="221">
        <v>150950</v>
      </c>
      <c r="H57" s="222"/>
      <c r="I57" s="32">
        <f>G57*5%+150950</f>
        <v>158497.5</v>
      </c>
      <c r="J57" s="32">
        <f>I57*5%+158498</f>
        <v>166422.875</v>
      </c>
    </row>
    <row r="58" spans="1:10" ht="15.75" x14ac:dyDescent="0.25">
      <c r="A58" s="276"/>
      <c r="B58" s="265" t="s">
        <v>147</v>
      </c>
      <c r="C58" s="266"/>
      <c r="D58" s="129" t="s">
        <v>149</v>
      </c>
      <c r="E58" s="110">
        <v>5136</v>
      </c>
      <c r="F58" s="36">
        <v>20000</v>
      </c>
      <c r="G58" s="221">
        <v>20000</v>
      </c>
      <c r="H58" s="222"/>
      <c r="I58" s="32">
        <v>21000</v>
      </c>
      <c r="J58" s="32">
        <v>22050</v>
      </c>
    </row>
    <row r="59" spans="1:10" ht="15.75" x14ac:dyDescent="0.25">
      <c r="A59" s="276"/>
      <c r="B59" s="265" t="s">
        <v>148</v>
      </c>
      <c r="C59" s="266"/>
      <c r="D59" s="129" t="s">
        <v>150</v>
      </c>
      <c r="E59" s="110">
        <v>14436.68</v>
      </c>
      <c r="F59" s="36">
        <v>20000</v>
      </c>
      <c r="G59" s="221">
        <v>15000</v>
      </c>
      <c r="H59" s="222"/>
      <c r="I59" s="32">
        <v>15750</v>
      </c>
      <c r="J59" s="32">
        <f>I59*5%+15750</f>
        <v>16537.5</v>
      </c>
    </row>
    <row r="60" spans="1:10" ht="15.75" x14ac:dyDescent="0.25">
      <c r="A60" s="276"/>
      <c r="B60" s="265" t="s">
        <v>151</v>
      </c>
      <c r="C60" s="266"/>
      <c r="D60" s="129" t="s">
        <v>152</v>
      </c>
      <c r="E60" s="110">
        <v>313</v>
      </c>
      <c r="F60" s="36">
        <v>10000</v>
      </c>
      <c r="G60" s="221">
        <v>10000</v>
      </c>
      <c r="H60" s="222"/>
      <c r="I60" s="32">
        <v>10500</v>
      </c>
      <c r="J60" s="32">
        <v>11025</v>
      </c>
    </row>
    <row r="61" spans="1:10" ht="15.75" x14ac:dyDescent="0.25">
      <c r="A61" s="276"/>
      <c r="B61" s="245">
        <v>323</v>
      </c>
      <c r="C61" s="246"/>
      <c r="D61" s="40" t="s">
        <v>153</v>
      </c>
      <c r="E61" s="108">
        <f>SUM(E62:E70)</f>
        <v>102311.40000000001</v>
      </c>
      <c r="F61" s="29">
        <f>SUM(F62:F70)</f>
        <v>247532.65</v>
      </c>
      <c r="G61" s="219">
        <f>SUM(G62:H70)</f>
        <v>222000</v>
      </c>
      <c r="H61" s="220"/>
      <c r="I61" s="31">
        <f>SUM(I62:I70)</f>
        <v>233102</v>
      </c>
      <c r="J61" s="31">
        <f>SUM(J62:J70)</f>
        <v>244755</v>
      </c>
    </row>
    <row r="62" spans="1:10" ht="15.75" x14ac:dyDescent="0.25">
      <c r="A62" s="276"/>
      <c r="B62" s="247">
        <v>3231</v>
      </c>
      <c r="C62" s="248"/>
      <c r="D62" s="34" t="s">
        <v>154</v>
      </c>
      <c r="E62" s="110">
        <v>8877</v>
      </c>
      <c r="F62" s="36">
        <v>10000</v>
      </c>
      <c r="G62" s="195">
        <v>15000</v>
      </c>
      <c r="H62" s="196"/>
      <c r="I62" s="32">
        <f>G62*5%+15000</f>
        <v>15750</v>
      </c>
      <c r="J62" s="32">
        <f>I62*5%+15750</f>
        <v>16537.5</v>
      </c>
    </row>
    <row r="63" spans="1:10" ht="15.75" x14ac:dyDescent="0.25">
      <c r="A63" s="276"/>
      <c r="B63" s="247">
        <v>3232</v>
      </c>
      <c r="C63" s="248"/>
      <c r="D63" s="34" t="s">
        <v>155</v>
      </c>
      <c r="E63" s="110">
        <v>25297.77</v>
      </c>
      <c r="F63" s="36">
        <v>106987.65</v>
      </c>
      <c r="G63" s="195">
        <v>75000</v>
      </c>
      <c r="H63" s="196"/>
      <c r="I63" s="32">
        <f>G63*5%+75000</f>
        <v>78750</v>
      </c>
      <c r="J63" s="32">
        <f>I63*5%+78750</f>
        <v>82687.5</v>
      </c>
    </row>
    <row r="64" spans="1:10" ht="15.75" x14ac:dyDescent="0.25">
      <c r="A64" s="276"/>
      <c r="B64" s="247">
        <v>3233</v>
      </c>
      <c r="C64" s="248"/>
      <c r="D64" s="34" t="s">
        <v>156</v>
      </c>
      <c r="E64" s="110">
        <v>3077.91</v>
      </c>
      <c r="F64" s="36">
        <v>10000</v>
      </c>
      <c r="G64" s="195">
        <v>10000</v>
      </c>
      <c r="H64" s="196"/>
      <c r="I64" s="32">
        <v>10502</v>
      </c>
      <c r="J64" s="32">
        <v>11025</v>
      </c>
    </row>
    <row r="65" spans="1:10" ht="15.75" x14ac:dyDescent="0.25">
      <c r="A65" s="276"/>
      <c r="B65" s="247">
        <v>3234</v>
      </c>
      <c r="C65" s="248"/>
      <c r="D65" s="34" t="s">
        <v>157</v>
      </c>
      <c r="E65" s="110">
        <v>13296.88</v>
      </c>
      <c r="F65" s="36">
        <v>50000</v>
      </c>
      <c r="G65" s="195">
        <v>70000</v>
      </c>
      <c r="H65" s="196"/>
      <c r="I65" s="32">
        <f>G65*5%+70000</f>
        <v>73500</v>
      </c>
      <c r="J65" s="32">
        <f>I65*5%+73500</f>
        <v>77175</v>
      </c>
    </row>
    <row r="66" spans="1:10" ht="15.75" x14ac:dyDescent="0.25">
      <c r="A66" s="276"/>
      <c r="B66" s="247">
        <v>3235</v>
      </c>
      <c r="C66" s="248"/>
      <c r="D66" s="34" t="s">
        <v>184</v>
      </c>
      <c r="E66" s="110">
        <v>0</v>
      </c>
      <c r="F66" s="36">
        <v>545</v>
      </c>
      <c r="G66" s="195">
        <v>0</v>
      </c>
      <c r="H66" s="196"/>
      <c r="I66" s="32">
        <v>0</v>
      </c>
      <c r="J66" s="32">
        <v>0</v>
      </c>
    </row>
    <row r="67" spans="1:10" ht="15.75" x14ac:dyDescent="0.25">
      <c r="A67" s="276"/>
      <c r="B67" s="247">
        <v>3236</v>
      </c>
      <c r="C67" s="248"/>
      <c r="D67" s="34" t="s">
        <v>158</v>
      </c>
      <c r="E67" s="110">
        <v>5741.68</v>
      </c>
      <c r="F67" s="36">
        <v>10000</v>
      </c>
      <c r="G67" s="195">
        <v>10000</v>
      </c>
      <c r="H67" s="196"/>
      <c r="I67" s="32">
        <v>10500</v>
      </c>
      <c r="J67" s="32">
        <v>11025</v>
      </c>
    </row>
    <row r="68" spans="1:10" ht="15.75" x14ac:dyDescent="0.25">
      <c r="A68" s="276"/>
      <c r="B68" s="247">
        <v>3237</v>
      </c>
      <c r="C68" s="248"/>
      <c r="D68" s="34" t="s">
        <v>159</v>
      </c>
      <c r="E68" s="110">
        <v>1973.5</v>
      </c>
      <c r="F68" s="36">
        <v>15000</v>
      </c>
      <c r="G68" s="195">
        <v>10000</v>
      </c>
      <c r="H68" s="196"/>
      <c r="I68" s="32">
        <v>10500</v>
      </c>
      <c r="J68" s="32">
        <v>11025</v>
      </c>
    </row>
    <row r="69" spans="1:10" ht="15.75" x14ac:dyDescent="0.25">
      <c r="A69" s="276"/>
      <c r="B69" s="247">
        <v>3238</v>
      </c>
      <c r="C69" s="248"/>
      <c r="D69" s="34" t="s">
        <v>160</v>
      </c>
      <c r="E69" s="110">
        <v>11302.93</v>
      </c>
      <c r="F69" s="36">
        <v>15000</v>
      </c>
      <c r="G69" s="195">
        <v>12000</v>
      </c>
      <c r="H69" s="196"/>
      <c r="I69" s="32">
        <f>G69*5%+12000</f>
        <v>12600</v>
      </c>
      <c r="J69" s="32">
        <f>I69*5%+12600</f>
        <v>13230</v>
      </c>
    </row>
    <row r="70" spans="1:10" ht="15.75" x14ac:dyDescent="0.25">
      <c r="A70" s="276"/>
      <c r="B70" s="247">
        <v>3239</v>
      </c>
      <c r="C70" s="248"/>
      <c r="D70" s="34" t="s">
        <v>161</v>
      </c>
      <c r="E70" s="110">
        <v>32743.73</v>
      </c>
      <c r="F70" s="36">
        <v>30000</v>
      </c>
      <c r="G70" s="195">
        <v>20000</v>
      </c>
      <c r="H70" s="196"/>
      <c r="I70" s="32">
        <f>G70*5%+20000</f>
        <v>21000</v>
      </c>
      <c r="J70" s="32">
        <f>I70*5%+21000</f>
        <v>22050</v>
      </c>
    </row>
    <row r="71" spans="1:10" ht="15.75" x14ac:dyDescent="0.25">
      <c r="A71" s="276"/>
      <c r="B71" s="245">
        <v>329</v>
      </c>
      <c r="C71" s="246"/>
      <c r="D71" s="34" t="s">
        <v>162</v>
      </c>
      <c r="E71" s="108">
        <f>SUM(E72:E76)</f>
        <v>17882.910000000003</v>
      </c>
      <c r="F71" s="29">
        <f>SUM(F72:F76)</f>
        <v>44987</v>
      </c>
      <c r="G71" s="233">
        <f>SUM(G72:H76)</f>
        <v>21800</v>
      </c>
      <c r="H71" s="234"/>
      <c r="I71" s="31">
        <f>SUM(I72:I76)</f>
        <v>22890</v>
      </c>
      <c r="J71" s="31">
        <f>SUM(J72:J76)</f>
        <v>24035.5</v>
      </c>
    </row>
    <row r="72" spans="1:10" ht="15.75" x14ac:dyDescent="0.25">
      <c r="A72" s="276"/>
      <c r="B72" s="247">
        <v>3291</v>
      </c>
      <c r="C72" s="248"/>
      <c r="D72" s="34" t="s">
        <v>163</v>
      </c>
      <c r="E72" s="110">
        <v>8798.5300000000007</v>
      </c>
      <c r="F72" s="36">
        <v>8892</v>
      </c>
      <c r="G72" s="195">
        <v>8800</v>
      </c>
      <c r="H72" s="196"/>
      <c r="I72" s="32">
        <f>G72*5%+8800</f>
        <v>9240</v>
      </c>
      <c r="J72" s="32">
        <f>I72*5%+9240</f>
        <v>9702</v>
      </c>
    </row>
    <row r="73" spans="1:10" ht="15.75" x14ac:dyDescent="0.25">
      <c r="A73" s="276"/>
      <c r="B73" s="125"/>
      <c r="C73" s="126">
        <v>3292</v>
      </c>
      <c r="D73" s="34" t="s">
        <v>164</v>
      </c>
      <c r="E73" s="110">
        <v>7264.48</v>
      </c>
      <c r="F73" s="36">
        <v>15000</v>
      </c>
      <c r="G73" s="195">
        <v>10000</v>
      </c>
      <c r="H73" s="196"/>
      <c r="I73" s="32">
        <f>G73*5%+10000</f>
        <v>10500</v>
      </c>
      <c r="J73" s="32">
        <f>I73*5%+10500</f>
        <v>11025</v>
      </c>
    </row>
    <row r="74" spans="1:10" ht="15.75" x14ac:dyDescent="0.25">
      <c r="A74" s="276"/>
      <c r="B74" s="247">
        <v>3293</v>
      </c>
      <c r="C74" s="248"/>
      <c r="D74" s="34" t="s">
        <v>165</v>
      </c>
      <c r="E74" s="110">
        <v>1075</v>
      </c>
      <c r="F74" s="36">
        <v>5000</v>
      </c>
      <c r="G74" s="195">
        <v>1000</v>
      </c>
      <c r="H74" s="196"/>
      <c r="I74" s="32">
        <f>G74*5%+1000</f>
        <v>1050</v>
      </c>
      <c r="J74" s="32">
        <v>1103</v>
      </c>
    </row>
    <row r="75" spans="1:10" ht="15.75" x14ac:dyDescent="0.25">
      <c r="A75" s="276"/>
      <c r="B75" s="247">
        <v>3295</v>
      </c>
      <c r="C75" s="248"/>
      <c r="D75" s="34" t="s">
        <v>166</v>
      </c>
      <c r="E75" s="110">
        <v>129.4</v>
      </c>
      <c r="F75" s="36">
        <v>1000</v>
      </c>
      <c r="G75" s="195">
        <v>1000</v>
      </c>
      <c r="H75" s="196"/>
      <c r="I75" s="32">
        <f t="shared" ref="I75:I76" si="1">G75*5%+1000</f>
        <v>1050</v>
      </c>
      <c r="J75" s="32">
        <v>1103</v>
      </c>
    </row>
    <row r="76" spans="1:10" s="71" customFormat="1" ht="15.75" x14ac:dyDescent="0.25">
      <c r="A76" s="276"/>
      <c r="B76" s="247">
        <v>3299</v>
      </c>
      <c r="C76" s="248"/>
      <c r="D76" s="34" t="s">
        <v>162</v>
      </c>
      <c r="E76" s="110">
        <v>615.5</v>
      </c>
      <c r="F76" s="36">
        <v>15095</v>
      </c>
      <c r="G76" s="195">
        <v>1000</v>
      </c>
      <c r="H76" s="196"/>
      <c r="I76" s="32">
        <f t="shared" si="1"/>
        <v>1050</v>
      </c>
      <c r="J76" s="32">
        <f>I76*5%+1050</f>
        <v>1102.5</v>
      </c>
    </row>
    <row r="77" spans="1:10" ht="15.75" x14ac:dyDescent="0.25">
      <c r="A77" s="276"/>
      <c r="B77" s="259">
        <v>34</v>
      </c>
      <c r="C77" s="260"/>
      <c r="D77" s="40" t="s">
        <v>51</v>
      </c>
      <c r="E77" s="108">
        <f>SUM(E78)</f>
        <v>1907.06</v>
      </c>
      <c r="F77" s="29">
        <f>SUM(F78)</f>
        <v>2100</v>
      </c>
      <c r="G77" s="233">
        <f>SUM(G78)</f>
        <v>7000</v>
      </c>
      <c r="H77" s="234"/>
      <c r="I77" s="31">
        <f>SUM(I78)</f>
        <v>7350</v>
      </c>
      <c r="J77" s="31">
        <f>SUM(J78)</f>
        <v>7717.5</v>
      </c>
    </row>
    <row r="78" spans="1:10" ht="15.75" x14ac:dyDescent="0.25">
      <c r="A78" s="276"/>
      <c r="B78" s="267" t="s">
        <v>167</v>
      </c>
      <c r="C78" s="268"/>
      <c r="D78" s="40" t="s">
        <v>168</v>
      </c>
      <c r="E78" s="108">
        <f>SUM(E79:E80)</f>
        <v>1907.06</v>
      </c>
      <c r="F78" s="29">
        <f>SUM(F79:F80)</f>
        <v>2100</v>
      </c>
      <c r="G78" s="233">
        <f>SUM(G79:H80)</f>
        <v>7000</v>
      </c>
      <c r="H78" s="234"/>
      <c r="I78" s="31">
        <f>SUM(I79:I80)</f>
        <v>7350</v>
      </c>
      <c r="J78" s="31">
        <f>SUM(J79:J80)</f>
        <v>7717.5</v>
      </c>
    </row>
    <row r="79" spans="1:10" ht="15.75" x14ac:dyDescent="0.25">
      <c r="A79" s="276"/>
      <c r="B79" s="265" t="s">
        <v>169</v>
      </c>
      <c r="C79" s="266"/>
      <c r="D79" s="129" t="s">
        <v>170</v>
      </c>
      <c r="E79" s="110">
        <v>1884.06</v>
      </c>
      <c r="F79" s="36">
        <v>2000</v>
      </c>
      <c r="G79" s="195">
        <v>3000</v>
      </c>
      <c r="H79" s="196"/>
      <c r="I79" s="32">
        <f>G79*5%+3000</f>
        <v>3150</v>
      </c>
      <c r="J79" s="32">
        <f>I79*5%+3150</f>
        <v>3307.5</v>
      </c>
    </row>
    <row r="80" spans="1:10" ht="15.75" x14ac:dyDescent="0.25">
      <c r="A80" s="277"/>
      <c r="B80" s="265" t="s">
        <v>171</v>
      </c>
      <c r="C80" s="266"/>
      <c r="D80" s="129" t="s">
        <v>172</v>
      </c>
      <c r="E80" s="110">
        <v>23</v>
      </c>
      <c r="F80" s="36">
        <v>100</v>
      </c>
      <c r="G80" s="195">
        <v>4000</v>
      </c>
      <c r="H80" s="196"/>
      <c r="I80" s="32">
        <f>G80*5%+4000</f>
        <v>4200</v>
      </c>
      <c r="J80" s="32">
        <f>I80*5%+4200</f>
        <v>4410</v>
      </c>
    </row>
    <row r="81" spans="1:10" ht="15.75" x14ac:dyDescent="0.25">
      <c r="A81" s="256">
        <v>4</v>
      </c>
      <c r="B81" s="259" t="s">
        <v>9</v>
      </c>
      <c r="C81" s="272"/>
      <c r="D81" s="260"/>
      <c r="E81" s="108">
        <f>E82+E91</f>
        <v>13031.62</v>
      </c>
      <c r="F81" s="29">
        <f>F82+F91</f>
        <v>62817</v>
      </c>
      <c r="G81" s="233">
        <f>G82+G91</f>
        <v>75000</v>
      </c>
      <c r="H81" s="234"/>
      <c r="I81" s="31">
        <f>SUM(I82)</f>
        <v>73750</v>
      </c>
      <c r="J81" s="31">
        <f>SUM(J82)</f>
        <v>77439</v>
      </c>
    </row>
    <row r="82" spans="1:10" ht="15.75" x14ac:dyDescent="0.25">
      <c r="A82" s="257"/>
      <c r="B82" s="225">
        <v>42</v>
      </c>
      <c r="C82" s="226"/>
      <c r="D82" s="28" t="s">
        <v>22</v>
      </c>
      <c r="E82" s="108">
        <f>SUM(E83)</f>
        <v>13031.62</v>
      </c>
      <c r="F82" s="29">
        <f>F83+F89</f>
        <v>54817</v>
      </c>
      <c r="G82" s="233">
        <f>SUM(G83)</f>
        <v>75000</v>
      </c>
      <c r="H82" s="234"/>
      <c r="I82" s="31">
        <f>SUM(I83)</f>
        <v>73750</v>
      </c>
      <c r="J82" s="31">
        <f>SUM(J83)</f>
        <v>77439</v>
      </c>
    </row>
    <row r="83" spans="1:10" ht="15.75" x14ac:dyDescent="0.25">
      <c r="A83" s="257"/>
      <c r="B83" s="263">
        <v>422</v>
      </c>
      <c r="C83" s="264"/>
      <c r="D83" s="28" t="s">
        <v>173</v>
      </c>
      <c r="E83" s="29">
        <f>SUM(E84:E88)</f>
        <v>13031.62</v>
      </c>
      <c r="F83" s="29">
        <f>SUM(F84:F88)</f>
        <v>29817</v>
      </c>
      <c r="G83" s="233">
        <f>SUM(G84:H88)</f>
        <v>75000</v>
      </c>
      <c r="H83" s="234"/>
      <c r="I83" s="31">
        <f>SUM(I84:I88)</f>
        <v>73750</v>
      </c>
      <c r="J83" s="31">
        <f>SUM(J84:J88)</f>
        <v>77439</v>
      </c>
    </row>
    <row r="84" spans="1:10" ht="15.75" x14ac:dyDescent="0.25">
      <c r="A84" s="257"/>
      <c r="B84" s="261">
        <v>4221</v>
      </c>
      <c r="C84" s="262"/>
      <c r="D84" s="43" t="s">
        <v>174</v>
      </c>
      <c r="E84" s="110">
        <v>4443.8900000000003</v>
      </c>
      <c r="F84" s="36">
        <v>0</v>
      </c>
      <c r="G84" s="195">
        <v>25000</v>
      </c>
      <c r="H84" s="196"/>
      <c r="I84" s="32">
        <f>G84*5%+25000</f>
        <v>26250</v>
      </c>
      <c r="J84" s="32">
        <v>27563</v>
      </c>
    </row>
    <row r="85" spans="1:10" ht="15.75" x14ac:dyDescent="0.25">
      <c r="A85" s="257"/>
      <c r="B85" s="261">
        <v>4222</v>
      </c>
      <c r="C85" s="262"/>
      <c r="D85" s="129" t="s">
        <v>175</v>
      </c>
      <c r="E85" s="36">
        <v>339</v>
      </c>
      <c r="F85" s="36">
        <v>5000</v>
      </c>
      <c r="G85" s="221">
        <v>0</v>
      </c>
      <c r="H85" s="222"/>
      <c r="I85" s="32">
        <v>0</v>
      </c>
      <c r="J85" s="32">
        <v>0</v>
      </c>
    </row>
    <row r="86" spans="1:10" ht="15.75" x14ac:dyDescent="0.25">
      <c r="A86" s="257"/>
      <c r="B86" s="261">
        <v>4223</v>
      </c>
      <c r="C86" s="262"/>
      <c r="D86" s="43" t="s">
        <v>176</v>
      </c>
      <c r="E86" s="110">
        <v>0</v>
      </c>
      <c r="F86" s="36">
        <v>5000</v>
      </c>
      <c r="G86" s="221">
        <v>0</v>
      </c>
      <c r="H86" s="222"/>
      <c r="I86" s="32">
        <v>0</v>
      </c>
      <c r="J86" s="32">
        <v>0</v>
      </c>
    </row>
    <row r="87" spans="1:10" ht="15.75" x14ac:dyDescent="0.25">
      <c r="A87" s="257"/>
      <c r="B87" s="130"/>
      <c r="C87" s="131">
        <v>4224</v>
      </c>
      <c r="D87" s="43" t="s">
        <v>178</v>
      </c>
      <c r="E87" s="110">
        <v>6349.45</v>
      </c>
      <c r="F87" s="36">
        <v>14817</v>
      </c>
      <c r="G87" s="221">
        <v>25000</v>
      </c>
      <c r="H87" s="222"/>
      <c r="I87" s="32">
        <f t="shared" ref="I87" si="2">G87*5%+25000</f>
        <v>26250</v>
      </c>
      <c r="J87" s="32">
        <v>27563</v>
      </c>
    </row>
    <row r="88" spans="1:10" ht="15.75" x14ac:dyDescent="0.25">
      <c r="A88" s="257"/>
      <c r="B88" s="261">
        <v>4227</v>
      </c>
      <c r="C88" s="262"/>
      <c r="D88" s="43" t="s">
        <v>177</v>
      </c>
      <c r="E88" s="110">
        <v>1899.28</v>
      </c>
      <c r="F88" s="36">
        <v>5000</v>
      </c>
      <c r="G88" s="221">
        <v>25000</v>
      </c>
      <c r="H88" s="222"/>
      <c r="I88" s="32">
        <v>21250</v>
      </c>
      <c r="J88" s="32">
        <v>22313</v>
      </c>
    </row>
    <row r="89" spans="1:10" ht="15.75" x14ac:dyDescent="0.25">
      <c r="A89" s="257"/>
      <c r="B89" s="263">
        <v>423</v>
      </c>
      <c r="C89" s="264"/>
      <c r="D89" s="28" t="s">
        <v>180</v>
      </c>
      <c r="E89" s="108">
        <v>0</v>
      </c>
      <c r="F89" s="29">
        <f>SUM(F90)</f>
        <v>25000</v>
      </c>
      <c r="G89" s="219">
        <v>0</v>
      </c>
      <c r="H89" s="220"/>
      <c r="I89" s="31"/>
      <c r="J89" s="31"/>
    </row>
    <row r="90" spans="1:10" ht="15.75" x14ac:dyDescent="0.25">
      <c r="A90" s="257"/>
      <c r="B90" s="130"/>
      <c r="C90" s="131">
        <v>4231</v>
      </c>
      <c r="D90" s="43" t="s">
        <v>179</v>
      </c>
      <c r="E90" s="110">
        <v>0</v>
      </c>
      <c r="F90" s="36">
        <v>25000</v>
      </c>
      <c r="G90" s="221">
        <v>0</v>
      </c>
      <c r="H90" s="222"/>
      <c r="I90" s="32"/>
      <c r="J90" s="32"/>
    </row>
    <row r="91" spans="1:10" ht="15.75" x14ac:dyDescent="0.25">
      <c r="A91" s="257"/>
      <c r="B91" s="225">
        <v>45</v>
      </c>
      <c r="C91" s="226"/>
      <c r="D91" s="41" t="s">
        <v>52</v>
      </c>
      <c r="E91" s="108">
        <f>SUM(E92)</f>
        <v>0</v>
      </c>
      <c r="F91" s="29">
        <f>SUM(F92)</f>
        <v>8000</v>
      </c>
      <c r="G91" s="219">
        <v>0</v>
      </c>
      <c r="H91" s="220"/>
      <c r="I91" s="31"/>
      <c r="J91" s="31"/>
    </row>
    <row r="92" spans="1:10" ht="15.75" x14ac:dyDescent="0.25">
      <c r="A92" s="257"/>
      <c r="B92" s="267" t="s">
        <v>181</v>
      </c>
      <c r="C92" s="268"/>
      <c r="D92" s="41" t="s">
        <v>183</v>
      </c>
      <c r="E92" s="29">
        <f>SUM(E93)</f>
        <v>0</v>
      </c>
      <c r="F92" s="29">
        <f>SUM(F93)</f>
        <v>8000</v>
      </c>
      <c r="G92" s="219">
        <v>0</v>
      </c>
      <c r="H92" s="220"/>
      <c r="I92" s="31"/>
      <c r="J92" s="31"/>
    </row>
    <row r="93" spans="1:10" ht="15.75" x14ac:dyDescent="0.25">
      <c r="A93" s="257"/>
      <c r="B93" s="265" t="s">
        <v>182</v>
      </c>
      <c r="C93" s="266"/>
      <c r="D93" s="35" t="s">
        <v>183</v>
      </c>
      <c r="E93" s="110">
        <v>0</v>
      </c>
      <c r="F93" s="36">
        <v>8000</v>
      </c>
      <c r="G93" s="221">
        <v>0</v>
      </c>
      <c r="H93" s="222"/>
      <c r="I93" s="32"/>
      <c r="J93" s="32"/>
    </row>
    <row r="96" spans="1:10" x14ac:dyDescent="0.25">
      <c r="E96" s="46"/>
    </row>
    <row r="98" spans="5:6" x14ac:dyDescent="0.25">
      <c r="E98" s="46"/>
    </row>
    <row r="100" spans="5:6" x14ac:dyDescent="0.25">
      <c r="F100" s="46"/>
    </row>
  </sheetData>
  <mergeCells count="175">
    <mergeCell ref="A37:D37"/>
    <mergeCell ref="A81:A93"/>
    <mergeCell ref="B81:D81"/>
    <mergeCell ref="G81:H81"/>
    <mergeCell ref="G87:H87"/>
    <mergeCell ref="G89:H89"/>
    <mergeCell ref="G90:H90"/>
    <mergeCell ref="B66:C66"/>
    <mergeCell ref="G66:H66"/>
    <mergeCell ref="G37:H37"/>
    <mergeCell ref="B82:C82"/>
    <mergeCell ref="B83:C83"/>
    <mergeCell ref="B84:C84"/>
    <mergeCell ref="B85:C85"/>
    <mergeCell ref="B86:C86"/>
    <mergeCell ref="B88:C88"/>
    <mergeCell ref="B91:C91"/>
    <mergeCell ref="B89:C89"/>
    <mergeCell ref="B92:C92"/>
    <mergeCell ref="B93:C93"/>
    <mergeCell ref="B79:C79"/>
    <mergeCell ref="A38:A80"/>
    <mergeCell ref="B80:C80"/>
    <mergeCell ref="G79:H79"/>
    <mergeCell ref="G80:H80"/>
    <mergeCell ref="G69:H69"/>
    <mergeCell ref="G70:H70"/>
    <mergeCell ref="G71:H71"/>
    <mergeCell ref="B74:C74"/>
    <mergeCell ref="B72:C72"/>
    <mergeCell ref="G72:H72"/>
    <mergeCell ref="G73:H73"/>
    <mergeCell ref="G74:H74"/>
    <mergeCell ref="B77:C77"/>
    <mergeCell ref="B78:C78"/>
    <mergeCell ref="G76:H76"/>
    <mergeCell ref="B61:C61"/>
    <mergeCell ref="B75:C75"/>
    <mergeCell ref="B76:C76"/>
    <mergeCell ref="B62:C62"/>
    <mergeCell ref="B63:C63"/>
    <mergeCell ref="B64:C64"/>
    <mergeCell ref="B65:C65"/>
    <mergeCell ref="B67:C67"/>
    <mergeCell ref="B68:C68"/>
    <mergeCell ref="B69:C69"/>
    <mergeCell ref="B70:C70"/>
    <mergeCell ref="B71:C71"/>
    <mergeCell ref="B53:C53"/>
    <mergeCell ref="B54:C54"/>
    <mergeCell ref="B60:C60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40:C40"/>
    <mergeCell ref="B41:C41"/>
    <mergeCell ref="B42:C42"/>
    <mergeCell ref="B38:D38"/>
    <mergeCell ref="G36:H36"/>
    <mergeCell ref="A11:A29"/>
    <mergeCell ref="A30:A33"/>
    <mergeCell ref="B29:C29"/>
    <mergeCell ref="B30:C30"/>
    <mergeCell ref="B31:C31"/>
    <mergeCell ref="B32:C32"/>
    <mergeCell ref="B33:C33"/>
    <mergeCell ref="G33:H33"/>
    <mergeCell ref="G14:H14"/>
    <mergeCell ref="G29:H29"/>
    <mergeCell ref="G20:H20"/>
    <mergeCell ref="B13:C13"/>
    <mergeCell ref="B14:C14"/>
    <mergeCell ref="B15:C15"/>
    <mergeCell ref="B16:C16"/>
    <mergeCell ref="B17:C17"/>
    <mergeCell ref="B19:C19"/>
    <mergeCell ref="B20:C20"/>
    <mergeCell ref="B22:C22"/>
    <mergeCell ref="B23:C23"/>
    <mergeCell ref="G93:H93"/>
    <mergeCell ref="G34:H34"/>
    <mergeCell ref="G84:H84"/>
    <mergeCell ref="G85:H85"/>
    <mergeCell ref="G86:H86"/>
    <mergeCell ref="G88:H88"/>
    <mergeCell ref="G91:H91"/>
    <mergeCell ref="G92:H92"/>
    <mergeCell ref="G77:H77"/>
    <mergeCell ref="G78:H78"/>
    <mergeCell ref="G82:H82"/>
    <mergeCell ref="G83:H83"/>
    <mergeCell ref="G52:H52"/>
    <mergeCell ref="G53:H53"/>
    <mergeCell ref="G60:H60"/>
    <mergeCell ref="G61:H61"/>
    <mergeCell ref="G75:H75"/>
    <mergeCell ref="G54:H54"/>
    <mergeCell ref="G55:H55"/>
    <mergeCell ref="G56:H56"/>
    <mergeCell ref="G57:H57"/>
    <mergeCell ref="G58:H58"/>
    <mergeCell ref="G59:H59"/>
    <mergeCell ref="G62:H62"/>
    <mergeCell ref="G63:H63"/>
    <mergeCell ref="G64:H64"/>
    <mergeCell ref="G65:H65"/>
    <mergeCell ref="G67:H67"/>
    <mergeCell ref="G68:H68"/>
    <mergeCell ref="G44:H44"/>
    <mergeCell ref="G48:H48"/>
    <mergeCell ref="G49:H49"/>
    <mergeCell ref="G50:H50"/>
    <mergeCell ref="G51:H51"/>
    <mergeCell ref="G45:H45"/>
    <mergeCell ref="G46:H46"/>
    <mergeCell ref="G47:H47"/>
    <mergeCell ref="G39:H39"/>
    <mergeCell ref="G40:H40"/>
    <mergeCell ref="G41:H41"/>
    <mergeCell ref="G42:H42"/>
    <mergeCell ref="G43:H43"/>
    <mergeCell ref="G38:H38"/>
    <mergeCell ref="A4:J4"/>
    <mergeCell ref="A6:J6"/>
    <mergeCell ref="G8:H8"/>
    <mergeCell ref="G7:H7"/>
    <mergeCell ref="G5:H5"/>
    <mergeCell ref="G9:H9"/>
    <mergeCell ref="G11:H11"/>
    <mergeCell ref="G12:H12"/>
    <mergeCell ref="G13:H13"/>
    <mergeCell ref="G15:H15"/>
    <mergeCell ref="C21:D21"/>
    <mergeCell ref="G32:H32"/>
    <mergeCell ref="G35:H35"/>
    <mergeCell ref="B24:C24"/>
    <mergeCell ref="B25:C25"/>
    <mergeCell ref="B27:C27"/>
    <mergeCell ref="B28:C28"/>
    <mergeCell ref="A35:D36"/>
    <mergeCell ref="I1:J1"/>
    <mergeCell ref="A10:D10"/>
    <mergeCell ref="A8:D9"/>
    <mergeCell ref="G18:H18"/>
    <mergeCell ref="G31:H31"/>
    <mergeCell ref="G16:H16"/>
    <mergeCell ref="C18:D18"/>
    <mergeCell ref="C12:D12"/>
    <mergeCell ref="B11:D11"/>
    <mergeCell ref="C26:D26"/>
    <mergeCell ref="G25:H25"/>
    <mergeCell ref="G17:H17"/>
    <mergeCell ref="G10:H10"/>
    <mergeCell ref="A3:J3"/>
    <mergeCell ref="G30:H30"/>
    <mergeCell ref="G19:H19"/>
    <mergeCell ref="G21:H21"/>
    <mergeCell ref="G22:H22"/>
    <mergeCell ref="G23:H23"/>
    <mergeCell ref="G24:H24"/>
    <mergeCell ref="G26:H26"/>
    <mergeCell ref="G27:H27"/>
    <mergeCell ref="G28:H28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0B02-9F32-4B5A-8D82-22B77698D8FB}">
  <sheetPr>
    <tabColor theme="9"/>
    <pageSetUpPr fitToPage="1"/>
  </sheetPr>
  <dimension ref="A1:N56"/>
  <sheetViews>
    <sheetView view="pageBreakPreview" topLeftCell="D2" zoomScaleNormal="100" zoomScaleSheetLayoutView="100" workbookViewId="0">
      <selection activeCell="N34" sqref="N34"/>
    </sheetView>
  </sheetViews>
  <sheetFormatPr defaultRowHeight="15" x14ac:dyDescent="0.25"/>
  <cols>
    <col min="1" max="1" width="4.85546875" style="2" customWidth="1"/>
    <col min="2" max="2" width="6.85546875" style="49" customWidth="1"/>
    <col min="3" max="3" width="6.140625" style="2" bestFit="1" customWidth="1"/>
    <col min="4" max="4" width="88.7109375" style="2" customWidth="1"/>
    <col min="5" max="5" width="25.85546875" style="2" customWidth="1"/>
    <col min="6" max="6" width="24.85546875" style="2" customWidth="1"/>
    <col min="7" max="7" width="9.140625" style="2"/>
    <col min="8" max="8" width="15.85546875" style="2" customWidth="1"/>
    <col min="9" max="9" width="26.5703125" style="2" customWidth="1"/>
    <col min="10" max="10" width="26" style="2" customWidth="1"/>
    <col min="11" max="11" width="5.5703125" style="2" customWidth="1"/>
    <col min="12" max="12" width="10.7109375" style="2" bestFit="1" customWidth="1"/>
    <col min="13" max="13" width="9.140625" style="2"/>
    <col min="14" max="14" width="10.140625" style="2" bestFit="1" customWidth="1"/>
    <col min="15" max="15" width="12.5703125" style="2" bestFit="1" customWidth="1"/>
    <col min="16" max="16384" width="9.140625" style="2"/>
  </cols>
  <sheetData>
    <row r="1" spans="1:11" x14ac:dyDescent="0.25">
      <c r="J1" s="92" t="s">
        <v>100</v>
      </c>
    </row>
    <row r="2" spans="1:11" ht="42" customHeight="1" x14ac:dyDescent="0.25">
      <c r="A2" s="230" t="s">
        <v>95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1" ht="15.75" customHeight="1" x14ac:dyDescent="0.25">
      <c r="A3" s="237"/>
      <c r="B3" s="237"/>
      <c r="C3" s="237"/>
      <c r="D3" s="237"/>
      <c r="E3" s="237"/>
      <c r="F3" s="237"/>
      <c r="G3" s="237"/>
      <c r="H3" s="237"/>
      <c r="I3" s="237"/>
      <c r="J3" s="237"/>
    </row>
    <row r="4" spans="1:11" ht="17.25" x14ac:dyDescent="0.25">
      <c r="A4" s="18"/>
      <c r="B4" s="19"/>
      <c r="C4" s="18"/>
      <c r="D4" s="18"/>
      <c r="E4" s="20"/>
      <c r="F4" s="20"/>
      <c r="G4" s="240"/>
      <c r="H4" s="240"/>
      <c r="I4" s="21"/>
      <c r="J4" s="21"/>
    </row>
    <row r="5" spans="1:11" ht="18" customHeight="1" x14ac:dyDescent="0.25">
      <c r="A5" s="237" t="s">
        <v>94</v>
      </c>
      <c r="B5" s="237"/>
      <c r="C5" s="237"/>
      <c r="D5" s="237"/>
      <c r="E5" s="237"/>
      <c r="F5" s="237"/>
      <c r="G5" s="237"/>
      <c r="H5" s="237"/>
      <c r="I5" s="237"/>
      <c r="J5" s="237"/>
    </row>
    <row r="6" spans="1:11" ht="17.25" x14ac:dyDescent="0.25">
      <c r="A6" s="18"/>
      <c r="B6" s="19"/>
      <c r="C6" s="18"/>
      <c r="D6" s="18"/>
      <c r="E6" s="20"/>
      <c r="F6" s="20"/>
      <c r="G6" s="240"/>
      <c r="H6" s="240"/>
      <c r="I6" s="21"/>
      <c r="J6" s="21"/>
    </row>
    <row r="7" spans="1:11" ht="24.75" customHeight="1" x14ac:dyDescent="0.25">
      <c r="A7" s="213" t="s">
        <v>92</v>
      </c>
      <c r="B7" s="214"/>
      <c r="C7" s="214"/>
      <c r="D7" s="215"/>
      <c r="E7" s="24" t="s">
        <v>81</v>
      </c>
      <c r="F7" s="24" t="s">
        <v>90</v>
      </c>
      <c r="G7" s="238" t="s">
        <v>187</v>
      </c>
      <c r="H7" s="239"/>
      <c r="I7" s="25" t="s">
        <v>85</v>
      </c>
      <c r="J7" s="25" t="s">
        <v>85</v>
      </c>
    </row>
    <row r="8" spans="1:11" ht="17.25" customHeight="1" x14ac:dyDescent="0.25">
      <c r="A8" s="216"/>
      <c r="B8" s="217"/>
      <c r="C8" s="217"/>
      <c r="D8" s="218"/>
      <c r="E8" s="13">
        <v>2024</v>
      </c>
      <c r="F8" s="13">
        <v>2025</v>
      </c>
      <c r="G8" s="241">
        <v>2026</v>
      </c>
      <c r="H8" s="242"/>
      <c r="I8" s="90">
        <v>2027</v>
      </c>
      <c r="J8" s="91">
        <v>2028</v>
      </c>
    </row>
    <row r="9" spans="1:11" ht="15.75" x14ac:dyDescent="0.25">
      <c r="A9" s="263" t="s">
        <v>193</v>
      </c>
      <c r="B9" s="282"/>
      <c r="C9" s="264"/>
      <c r="D9" s="28"/>
      <c r="E9" s="29">
        <f>E10+E12+E14+E17+E20+E22</f>
        <v>1980138.46</v>
      </c>
      <c r="F9" s="29">
        <f>F10+F12+F14+F17</f>
        <v>3380712.65</v>
      </c>
      <c r="G9" s="233">
        <f>G12+G14+G17</f>
        <v>3670000</v>
      </c>
      <c r="H9" s="234"/>
      <c r="I9" s="31">
        <f>I12+I14+I15+I17</f>
        <v>3848502</v>
      </c>
      <c r="J9" s="30">
        <f>J12+J14+J15+J17</f>
        <v>4035932</v>
      </c>
    </row>
    <row r="10" spans="1:11" ht="15.75" x14ac:dyDescent="0.25">
      <c r="A10" s="33"/>
      <c r="B10" s="27" t="s">
        <v>63</v>
      </c>
      <c r="C10" s="26"/>
      <c r="D10" s="28" t="s">
        <v>6</v>
      </c>
      <c r="E10" s="29">
        <f>SUM(E11)</f>
        <v>78892</v>
      </c>
      <c r="F10" s="29">
        <f>SUM(F11)</f>
        <v>143892</v>
      </c>
      <c r="G10" s="233">
        <f>SUM(G11)</f>
        <v>0</v>
      </c>
      <c r="H10" s="234"/>
      <c r="I10" s="32">
        <v>0</v>
      </c>
      <c r="J10" s="32">
        <v>0</v>
      </c>
    </row>
    <row r="11" spans="1:11" ht="15.75" x14ac:dyDescent="0.25">
      <c r="A11" s="33"/>
      <c r="B11" s="34"/>
      <c r="C11" s="33">
        <v>67</v>
      </c>
      <c r="D11" s="35" t="s">
        <v>20</v>
      </c>
      <c r="E11" s="36">
        <v>78892</v>
      </c>
      <c r="F11" s="36">
        <v>143892</v>
      </c>
      <c r="G11" s="195">
        <v>0</v>
      </c>
      <c r="H11" s="196"/>
      <c r="I11" s="32">
        <v>0</v>
      </c>
      <c r="J11" s="32">
        <v>0</v>
      </c>
    </row>
    <row r="12" spans="1:11" ht="15.75" x14ac:dyDescent="0.25">
      <c r="A12" s="33"/>
      <c r="B12" s="38" t="s">
        <v>64</v>
      </c>
      <c r="C12" s="39"/>
      <c r="D12" s="40" t="s">
        <v>194</v>
      </c>
      <c r="E12" s="29">
        <f>SUM(E13)</f>
        <v>803766.45</v>
      </c>
      <c r="F12" s="29">
        <f>SUM(F13)</f>
        <v>849602</v>
      </c>
      <c r="G12" s="233">
        <f>SUM(G13)</f>
        <v>694794</v>
      </c>
      <c r="H12" s="234"/>
      <c r="I12" s="31">
        <f>SUM(I13)</f>
        <v>729534</v>
      </c>
      <c r="J12" s="31">
        <f>SUM(J13)</f>
        <v>766011</v>
      </c>
    </row>
    <row r="13" spans="1:11" ht="15.75" x14ac:dyDescent="0.25">
      <c r="A13" s="33"/>
      <c r="B13" s="34"/>
      <c r="C13" s="33">
        <v>67</v>
      </c>
      <c r="D13" s="35" t="s">
        <v>20</v>
      </c>
      <c r="E13" s="36">
        <v>803766.45</v>
      </c>
      <c r="F13" s="36">
        <v>849602</v>
      </c>
      <c r="G13" s="195">
        <v>694794</v>
      </c>
      <c r="H13" s="196"/>
      <c r="I13" s="32">
        <v>729534</v>
      </c>
      <c r="J13" s="32">
        <v>766011</v>
      </c>
      <c r="K13" s="149"/>
    </row>
    <row r="14" spans="1:11" ht="15.75" customHeight="1" x14ac:dyDescent="0.25">
      <c r="A14" s="33"/>
      <c r="B14" s="141" t="s">
        <v>195</v>
      </c>
      <c r="C14" s="39"/>
      <c r="D14" s="41" t="s">
        <v>196</v>
      </c>
      <c r="E14" s="29">
        <f>SUM(E15:E16)</f>
        <v>247232.05000000002</v>
      </c>
      <c r="F14" s="29">
        <f>SUM(F15:F16)</f>
        <v>204359</v>
      </c>
      <c r="G14" s="233">
        <f>SUM(G15:H16)</f>
        <v>300400</v>
      </c>
      <c r="H14" s="234"/>
      <c r="I14" s="31">
        <f>SUM(I15:I16)</f>
        <v>315420</v>
      </c>
      <c r="J14" s="30">
        <f>SUM(J15:J16)</f>
        <v>331195</v>
      </c>
      <c r="K14" s="149"/>
    </row>
    <row r="15" spans="1:11" ht="15.75" x14ac:dyDescent="0.25">
      <c r="A15" s="33"/>
      <c r="B15" s="34"/>
      <c r="C15" s="33">
        <v>64</v>
      </c>
      <c r="D15" s="35" t="s">
        <v>58</v>
      </c>
      <c r="E15" s="36">
        <v>7.7</v>
      </c>
      <c r="F15" s="36">
        <v>9</v>
      </c>
      <c r="G15" s="195">
        <v>1</v>
      </c>
      <c r="H15" s="196"/>
      <c r="I15" s="32">
        <v>3</v>
      </c>
      <c r="J15" s="32">
        <v>4</v>
      </c>
    </row>
    <row r="16" spans="1:11" ht="15.75" x14ac:dyDescent="0.25">
      <c r="A16" s="33"/>
      <c r="B16" s="38"/>
      <c r="C16" s="33">
        <v>66</v>
      </c>
      <c r="D16" s="35" t="s">
        <v>197</v>
      </c>
      <c r="E16" s="36">
        <v>247224.35</v>
      </c>
      <c r="F16" s="36">
        <v>204350</v>
      </c>
      <c r="G16" s="195">
        <v>300399</v>
      </c>
      <c r="H16" s="196"/>
      <c r="I16" s="32">
        <v>315417</v>
      </c>
      <c r="J16" s="32">
        <v>331191</v>
      </c>
    </row>
    <row r="17" spans="1:14" ht="15.75" x14ac:dyDescent="0.25">
      <c r="A17" s="33"/>
      <c r="B17" s="38" t="s">
        <v>198</v>
      </c>
      <c r="C17" s="39"/>
      <c r="D17" s="41"/>
      <c r="E17" s="29">
        <f>SUM(E18:E19)</f>
        <v>828635.76</v>
      </c>
      <c r="F17" s="29">
        <f>SUM(F18)</f>
        <v>2182859.65</v>
      </c>
      <c r="G17" s="233">
        <f>SUM(G18)</f>
        <v>2674806</v>
      </c>
      <c r="H17" s="234"/>
      <c r="I17" s="31">
        <f>SUM(I18)</f>
        <v>2803545</v>
      </c>
      <c r="J17" s="31">
        <f>SUM(J18)</f>
        <v>2938722</v>
      </c>
    </row>
    <row r="18" spans="1:14" ht="15.75" x14ac:dyDescent="0.25">
      <c r="A18" s="33"/>
      <c r="B18" s="34"/>
      <c r="C18" s="33">
        <v>65</v>
      </c>
      <c r="D18" s="35" t="s">
        <v>199</v>
      </c>
      <c r="E18" s="36">
        <v>828635.76</v>
      </c>
      <c r="F18" s="36">
        <v>2182859.65</v>
      </c>
      <c r="G18" s="195">
        <v>2674806</v>
      </c>
      <c r="H18" s="196"/>
      <c r="I18" s="32">
        <v>2803545</v>
      </c>
      <c r="J18" s="32">
        <v>2938722</v>
      </c>
      <c r="K18" s="149"/>
      <c r="L18" s="149"/>
    </row>
    <row r="19" spans="1:14" ht="15.75" x14ac:dyDescent="0.25">
      <c r="A19" s="33"/>
      <c r="B19" s="34"/>
      <c r="C19" s="33">
        <v>92</v>
      </c>
      <c r="D19" s="35" t="s">
        <v>118</v>
      </c>
      <c r="E19" s="36">
        <v>0</v>
      </c>
      <c r="F19" s="36">
        <v>-22988</v>
      </c>
      <c r="G19" s="195">
        <v>-100000</v>
      </c>
      <c r="H19" s="196"/>
      <c r="I19" s="32">
        <v>-100000</v>
      </c>
      <c r="J19" s="32">
        <v>-100000</v>
      </c>
    </row>
    <row r="20" spans="1:14" ht="21" customHeight="1" x14ac:dyDescent="0.25">
      <c r="A20" s="33"/>
      <c r="B20" s="38" t="s">
        <v>200</v>
      </c>
      <c r="C20" s="39"/>
      <c r="D20" s="28" t="s">
        <v>201</v>
      </c>
      <c r="E20" s="29">
        <f>SUM(E21)</f>
        <v>18020.2</v>
      </c>
      <c r="F20" s="29">
        <v>0</v>
      </c>
      <c r="G20" s="283">
        <v>0</v>
      </c>
      <c r="H20" s="284"/>
      <c r="I20" s="42">
        <v>0</v>
      </c>
      <c r="J20" s="42">
        <v>0</v>
      </c>
      <c r="K20" s="149"/>
    </row>
    <row r="21" spans="1:14" ht="15.75" x14ac:dyDescent="0.25">
      <c r="A21" s="33"/>
      <c r="B21" s="38"/>
      <c r="C21" s="33">
        <v>63</v>
      </c>
      <c r="D21" s="43" t="s">
        <v>202</v>
      </c>
      <c r="E21" s="36">
        <v>18020.2</v>
      </c>
      <c r="F21" s="36">
        <v>0</v>
      </c>
      <c r="G21" s="195">
        <v>0</v>
      </c>
      <c r="H21" s="196"/>
      <c r="I21" s="32">
        <v>0</v>
      </c>
      <c r="J21" s="32">
        <v>0</v>
      </c>
    </row>
    <row r="22" spans="1:14" ht="15.75" x14ac:dyDescent="0.25">
      <c r="A22" s="44"/>
      <c r="B22" s="141" t="s">
        <v>203</v>
      </c>
      <c r="C22" s="39"/>
      <c r="D22" s="41" t="s">
        <v>59</v>
      </c>
      <c r="E22" s="29">
        <f>SUM(E23)</f>
        <v>3592</v>
      </c>
      <c r="F22" s="29">
        <v>0</v>
      </c>
      <c r="G22" s="233">
        <v>0</v>
      </c>
      <c r="H22" s="234"/>
      <c r="I22" s="31">
        <v>0</v>
      </c>
      <c r="J22" s="31">
        <v>0</v>
      </c>
    </row>
    <row r="23" spans="1:14" ht="15.75" x14ac:dyDescent="0.25">
      <c r="A23" s="47"/>
      <c r="B23" s="45"/>
      <c r="C23" s="44">
        <v>66</v>
      </c>
      <c r="D23" s="43" t="s">
        <v>197</v>
      </c>
      <c r="E23" s="36">
        <v>3592</v>
      </c>
      <c r="F23" s="36">
        <v>0</v>
      </c>
      <c r="G23" s="233">
        <v>0</v>
      </c>
      <c r="H23" s="234"/>
      <c r="I23" s="31">
        <v>0</v>
      </c>
      <c r="J23" s="31">
        <v>0</v>
      </c>
      <c r="N23" s="46"/>
    </row>
    <row r="24" spans="1:14" x14ac:dyDescent="0.25">
      <c r="D24" s="50"/>
      <c r="E24" s="51"/>
      <c r="F24" s="51"/>
      <c r="G24" s="285"/>
      <c r="H24" s="285"/>
      <c r="J24" s="4"/>
    </row>
    <row r="25" spans="1:14" ht="20.25" customHeight="1" x14ac:dyDescent="0.25">
      <c r="A25" s="213" t="s">
        <v>120</v>
      </c>
      <c r="B25" s="214"/>
      <c r="C25" s="214"/>
      <c r="D25" s="215"/>
      <c r="E25" s="24" t="s">
        <v>81</v>
      </c>
      <c r="F25" s="24" t="s">
        <v>90</v>
      </c>
      <c r="G25" s="243" t="s">
        <v>187</v>
      </c>
      <c r="H25" s="244"/>
      <c r="I25" s="25" t="s">
        <v>84</v>
      </c>
      <c r="J25" s="25" t="s">
        <v>85</v>
      </c>
    </row>
    <row r="26" spans="1:14" ht="21" customHeight="1" x14ac:dyDescent="0.25">
      <c r="A26" s="216"/>
      <c r="B26" s="217"/>
      <c r="C26" s="217"/>
      <c r="D26" s="218"/>
      <c r="E26" s="13">
        <v>2024</v>
      </c>
      <c r="F26" s="13">
        <v>2025</v>
      </c>
      <c r="G26" s="91"/>
      <c r="H26" s="142">
        <v>2026</v>
      </c>
      <c r="I26" s="91">
        <v>2027</v>
      </c>
      <c r="J26" s="142">
        <v>2028</v>
      </c>
    </row>
    <row r="27" spans="1:14" x14ac:dyDescent="0.25">
      <c r="A27" s="286" t="s">
        <v>193</v>
      </c>
      <c r="B27" s="287"/>
      <c r="C27" s="288"/>
      <c r="D27" s="54"/>
      <c r="E27" s="55">
        <f>E28+E31+E35+E40+E45+E48</f>
        <v>2034674.69</v>
      </c>
      <c r="F27" s="55">
        <f>F28+F31+F35+F40</f>
        <v>3380712.65</v>
      </c>
      <c r="G27" s="280">
        <f>G31+G35+G40</f>
        <v>3670000</v>
      </c>
      <c r="H27" s="281"/>
      <c r="I27" s="56">
        <f>I31+I35+I40</f>
        <v>3848501.8</v>
      </c>
      <c r="J27" s="57">
        <f>J31+J35+J40</f>
        <v>4035932.0175000001</v>
      </c>
      <c r="L27" s="149"/>
    </row>
    <row r="28" spans="1:14" x14ac:dyDescent="0.25">
      <c r="A28" s="52"/>
      <c r="B28" s="52" t="s">
        <v>63</v>
      </c>
      <c r="C28" s="53"/>
      <c r="D28" s="54" t="s">
        <v>6</v>
      </c>
      <c r="E28" s="58">
        <f>SUM(E29:E30)</f>
        <v>78798.53</v>
      </c>
      <c r="F28" s="58">
        <f>SUM(F29:F30)</f>
        <v>143892</v>
      </c>
      <c r="G28" s="280">
        <v>0</v>
      </c>
      <c r="H28" s="281"/>
      <c r="I28" s="59"/>
      <c r="J28" s="59"/>
    </row>
    <row r="29" spans="1:14" x14ac:dyDescent="0.25">
      <c r="A29" s="52"/>
      <c r="B29" s="52"/>
      <c r="C29" s="60" t="s">
        <v>204</v>
      </c>
      <c r="D29" s="61" t="s">
        <v>8</v>
      </c>
      <c r="E29" s="62">
        <v>70000</v>
      </c>
      <c r="F29" s="62">
        <v>135000</v>
      </c>
      <c r="G29" s="278">
        <v>0</v>
      </c>
      <c r="H29" s="279"/>
      <c r="I29" s="63"/>
      <c r="J29" s="63"/>
    </row>
    <row r="30" spans="1:14" x14ac:dyDescent="0.25">
      <c r="A30" s="52"/>
      <c r="B30" s="64"/>
      <c r="C30" s="60" t="s">
        <v>205</v>
      </c>
      <c r="D30" s="61" t="s">
        <v>16</v>
      </c>
      <c r="E30" s="62">
        <v>8798.5300000000007</v>
      </c>
      <c r="F30" s="62">
        <v>8892</v>
      </c>
      <c r="G30" s="278">
        <v>0</v>
      </c>
      <c r="H30" s="279"/>
      <c r="I30" s="63"/>
      <c r="J30" s="63"/>
    </row>
    <row r="31" spans="1:14" x14ac:dyDescent="0.25">
      <c r="A31" s="52"/>
      <c r="B31" s="52" t="s">
        <v>64</v>
      </c>
      <c r="C31" s="60"/>
      <c r="D31" s="54" t="s">
        <v>208</v>
      </c>
      <c r="E31" s="58">
        <f>SUM(E32:E34)</f>
        <v>803766</v>
      </c>
      <c r="F31" s="58">
        <f>SUM(F32:F34)</f>
        <v>849602</v>
      </c>
      <c r="G31" s="280">
        <f>SUM(G32:H34)</f>
        <v>694794</v>
      </c>
      <c r="H31" s="281"/>
      <c r="I31" s="59">
        <f>SUM(I32:I34)</f>
        <v>729533.7</v>
      </c>
      <c r="J31" s="59">
        <f>SUM(J32:J34)</f>
        <v>765759.5625</v>
      </c>
    </row>
    <row r="32" spans="1:14" x14ac:dyDescent="0.25">
      <c r="A32" s="52"/>
      <c r="B32" s="64"/>
      <c r="C32" s="60" t="s">
        <v>204</v>
      </c>
      <c r="D32" s="61" t="s">
        <v>8</v>
      </c>
      <c r="E32" s="62">
        <v>797417</v>
      </c>
      <c r="F32" s="62">
        <v>789877</v>
      </c>
      <c r="G32" s="278">
        <v>635069</v>
      </c>
      <c r="H32" s="279"/>
      <c r="I32" s="63">
        <f>635069*5%+635069</f>
        <v>666822.44999999995</v>
      </c>
      <c r="J32" s="63">
        <v>699913</v>
      </c>
    </row>
    <row r="33" spans="1:12" x14ac:dyDescent="0.25">
      <c r="A33" s="52"/>
      <c r="B33" s="64"/>
      <c r="C33" s="65" t="s">
        <v>205</v>
      </c>
      <c r="D33" s="66" t="s">
        <v>16</v>
      </c>
      <c r="E33" s="62">
        <v>0</v>
      </c>
      <c r="F33" s="62">
        <v>19908</v>
      </c>
      <c r="G33" s="278">
        <v>19908</v>
      </c>
      <c r="H33" s="279"/>
      <c r="I33" s="63">
        <f>G33*5%+19908</f>
        <v>20903.400000000001</v>
      </c>
      <c r="J33" s="63">
        <f>I33*5%+20903</f>
        <v>21948.17</v>
      </c>
      <c r="L33" s="149"/>
    </row>
    <row r="34" spans="1:12" x14ac:dyDescent="0.25">
      <c r="A34" s="52"/>
      <c r="B34" s="64"/>
      <c r="C34" s="65" t="s">
        <v>207</v>
      </c>
      <c r="D34" s="66" t="s">
        <v>22</v>
      </c>
      <c r="E34" s="62">
        <v>6349</v>
      </c>
      <c r="F34" s="62">
        <v>39817</v>
      </c>
      <c r="G34" s="278">
        <v>39817</v>
      </c>
      <c r="H34" s="279"/>
      <c r="I34" s="63">
        <f>G34*5%+39817</f>
        <v>41807.85</v>
      </c>
      <c r="J34" s="63">
        <f>I34*5%+41808</f>
        <v>43898.392500000002</v>
      </c>
    </row>
    <row r="35" spans="1:12" x14ac:dyDescent="0.25">
      <c r="A35" s="67"/>
      <c r="B35" s="68" t="s">
        <v>195</v>
      </c>
      <c r="C35" s="69"/>
      <c r="D35" s="70" t="s">
        <v>17</v>
      </c>
      <c r="E35" s="58">
        <f>SUM(E36:E38)</f>
        <v>1737.5</v>
      </c>
      <c r="F35" s="58">
        <f>SUM(F36:F39)</f>
        <v>204359</v>
      </c>
      <c r="G35" s="280">
        <f>SUM(G36:H37)</f>
        <v>300400</v>
      </c>
      <c r="H35" s="281"/>
      <c r="I35" s="59">
        <f>SUM(I36:I37)</f>
        <v>315420</v>
      </c>
      <c r="J35" s="59">
        <f>SUM(J36:J37)</f>
        <v>331195.25</v>
      </c>
    </row>
    <row r="36" spans="1:12" x14ac:dyDescent="0.25">
      <c r="A36" s="67"/>
      <c r="B36" s="67"/>
      <c r="C36" s="65" t="s">
        <v>204</v>
      </c>
      <c r="D36" s="66" t="s">
        <v>8</v>
      </c>
      <c r="E36" s="62">
        <v>0</v>
      </c>
      <c r="F36" s="62">
        <v>129815</v>
      </c>
      <c r="G36" s="278">
        <v>116500</v>
      </c>
      <c r="H36" s="279"/>
      <c r="I36" s="63">
        <f>G36*5%+116500</f>
        <v>122325</v>
      </c>
      <c r="J36" s="63">
        <f>I36*5%+122325</f>
        <v>128441.25</v>
      </c>
    </row>
    <row r="37" spans="1:12" x14ac:dyDescent="0.25">
      <c r="A37" s="67"/>
      <c r="B37" s="67"/>
      <c r="C37" s="65" t="s">
        <v>205</v>
      </c>
      <c r="D37" s="61" t="s">
        <v>16</v>
      </c>
      <c r="E37" s="62">
        <v>0</v>
      </c>
      <c r="F37" s="62">
        <v>61544</v>
      </c>
      <c r="G37" s="278">
        <v>183900</v>
      </c>
      <c r="H37" s="279"/>
      <c r="I37" s="63">
        <f>G37*5%+183900</f>
        <v>193095</v>
      </c>
      <c r="J37" s="63">
        <v>202754</v>
      </c>
      <c r="L37" s="149"/>
    </row>
    <row r="38" spans="1:12" x14ac:dyDescent="0.25">
      <c r="A38" s="67"/>
      <c r="B38" s="67"/>
      <c r="C38" s="65" t="s">
        <v>207</v>
      </c>
      <c r="D38" s="61" t="s">
        <v>22</v>
      </c>
      <c r="E38" s="62">
        <v>1737.5</v>
      </c>
      <c r="F38" s="62">
        <v>5000</v>
      </c>
      <c r="G38" s="278">
        <v>0</v>
      </c>
      <c r="H38" s="279"/>
      <c r="I38" s="63">
        <v>0</v>
      </c>
      <c r="J38" s="63">
        <v>0</v>
      </c>
    </row>
    <row r="39" spans="1:12" x14ac:dyDescent="0.25">
      <c r="A39" s="67"/>
      <c r="B39" s="67"/>
      <c r="C39" s="65" t="s">
        <v>206</v>
      </c>
      <c r="D39" s="66" t="s">
        <v>210</v>
      </c>
      <c r="E39" s="62">
        <v>0</v>
      </c>
      <c r="F39" s="62">
        <v>8000</v>
      </c>
      <c r="G39" s="278">
        <v>0</v>
      </c>
      <c r="H39" s="279"/>
      <c r="I39" s="63">
        <v>0</v>
      </c>
      <c r="J39" s="63">
        <v>0</v>
      </c>
    </row>
    <row r="40" spans="1:12" x14ac:dyDescent="0.25">
      <c r="A40" s="67"/>
      <c r="B40" s="68" t="s">
        <v>198</v>
      </c>
      <c r="C40" s="69"/>
      <c r="D40" s="70" t="s">
        <v>211</v>
      </c>
      <c r="E40" s="58">
        <f>SUM(E41:E44)</f>
        <v>1137076.02</v>
      </c>
      <c r="F40" s="58">
        <f>SUM(F41:F44)</f>
        <v>2182859.65</v>
      </c>
      <c r="G40" s="280">
        <f>SUM(G41:H44)</f>
        <v>2674806</v>
      </c>
      <c r="H40" s="281"/>
      <c r="I40" s="59">
        <f>SUM(I41:I44)</f>
        <v>2803548.1</v>
      </c>
      <c r="J40" s="59">
        <f>SUM(J41:J44)</f>
        <v>2938977.2050000001</v>
      </c>
    </row>
    <row r="41" spans="1:12" x14ac:dyDescent="0.25">
      <c r="A41" s="67"/>
      <c r="B41" s="67"/>
      <c r="C41" s="65" t="s">
        <v>204</v>
      </c>
      <c r="D41" s="66" t="s">
        <v>8</v>
      </c>
      <c r="E41" s="62">
        <v>656040.76</v>
      </c>
      <c r="F41" s="62">
        <v>1210500</v>
      </c>
      <c r="G41" s="278">
        <v>1856681</v>
      </c>
      <c r="H41" s="279"/>
      <c r="I41" s="63">
        <f>G41*5%+1756681+5000+90000</f>
        <v>1944515.05</v>
      </c>
      <c r="J41" s="63">
        <v>2036991</v>
      </c>
    </row>
    <row r="42" spans="1:12" x14ac:dyDescent="0.25">
      <c r="A42" s="67"/>
      <c r="B42" s="67"/>
      <c r="C42" s="65" t="s">
        <v>205</v>
      </c>
      <c r="D42" s="66" t="s">
        <v>16</v>
      </c>
      <c r="E42" s="62">
        <v>477775.72</v>
      </c>
      <c r="F42" s="62">
        <v>960259.65</v>
      </c>
      <c r="G42" s="278">
        <v>775942</v>
      </c>
      <c r="H42" s="279"/>
      <c r="I42" s="63">
        <f>G42*5%+775942</f>
        <v>814739.1</v>
      </c>
      <c r="J42" s="63">
        <f>I42*5%+814739</f>
        <v>855475.95499999996</v>
      </c>
    </row>
    <row r="43" spans="1:12" x14ac:dyDescent="0.25">
      <c r="A43" s="67"/>
      <c r="B43" s="67"/>
      <c r="C43" s="65" t="s">
        <v>209</v>
      </c>
      <c r="D43" s="66" t="s">
        <v>51</v>
      </c>
      <c r="E43" s="62">
        <v>1906.84</v>
      </c>
      <c r="F43" s="62">
        <v>2100</v>
      </c>
      <c r="G43" s="278">
        <v>6999</v>
      </c>
      <c r="H43" s="279"/>
      <c r="I43" s="63">
        <f>G43*5%+6999</f>
        <v>7348.95</v>
      </c>
      <c r="J43" s="63">
        <v>7718</v>
      </c>
    </row>
    <row r="44" spans="1:12" x14ac:dyDescent="0.25">
      <c r="A44" s="67"/>
      <c r="B44" s="67"/>
      <c r="C44" s="65" t="s">
        <v>207</v>
      </c>
      <c r="D44" s="66" t="s">
        <v>22</v>
      </c>
      <c r="E44" s="62">
        <v>1352.7</v>
      </c>
      <c r="F44" s="62">
        <v>10000</v>
      </c>
      <c r="G44" s="278">
        <v>35184</v>
      </c>
      <c r="H44" s="279"/>
      <c r="I44" s="63">
        <v>36945</v>
      </c>
      <c r="J44" s="63">
        <f>I44*5%+36945</f>
        <v>38792.25</v>
      </c>
    </row>
    <row r="45" spans="1:12" x14ac:dyDescent="0.25">
      <c r="A45" s="67"/>
      <c r="B45" s="68" t="s">
        <v>200</v>
      </c>
      <c r="C45" s="69"/>
      <c r="D45" s="70" t="s">
        <v>212</v>
      </c>
      <c r="E45" s="58">
        <f>SUM(E46:E47)</f>
        <v>9704.74</v>
      </c>
      <c r="F45" s="58">
        <v>0</v>
      </c>
      <c r="G45" s="280">
        <v>0</v>
      </c>
      <c r="H45" s="281"/>
      <c r="I45" s="59"/>
      <c r="J45" s="59"/>
    </row>
    <row r="46" spans="1:12" x14ac:dyDescent="0.25">
      <c r="A46" s="67"/>
      <c r="B46" s="68"/>
      <c r="C46" s="65" t="s">
        <v>204</v>
      </c>
      <c r="D46" s="66" t="s">
        <v>8</v>
      </c>
      <c r="E46" s="62">
        <v>9656.19</v>
      </c>
      <c r="F46" s="62">
        <v>0</v>
      </c>
      <c r="G46" s="278">
        <v>0</v>
      </c>
      <c r="H46" s="279"/>
      <c r="I46" s="63"/>
      <c r="J46" s="63"/>
    </row>
    <row r="47" spans="1:12" s="71" customFormat="1" x14ac:dyDescent="0.25">
      <c r="A47" s="68"/>
      <c r="B47" s="68"/>
      <c r="C47" s="65" t="s">
        <v>205</v>
      </c>
      <c r="D47" s="66" t="s">
        <v>16</v>
      </c>
      <c r="E47" s="62">
        <v>48.55</v>
      </c>
      <c r="F47" s="62">
        <v>0</v>
      </c>
      <c r="G47" s="278">
        <v>0</v>
      </c>
      <c r="H47" s="279"/>
      <c r="I47" s="63"/>
      <c r="J47" s="63"/>
    </row>
    <row r="48" spans="1:12" x14ac:dyDescent="0.25">
      <c r="A48" s="67"/>
      <c r="B48" s="68" t="s">
        <v>203</v>
      </c>
      <c r="C48" s="69"/>
      <c r="D48" s="70" t="s">
        <v>59</v>
      </c>
      <c r="E48" s="58">
        <f>SUM(E49)</f>
        <v>3591.9</v>
      </c>
      <c r="F48" s="58">
        <v>0</v>
      </c>
      <c r="G48" s="280">
        <v>0</v>
      </c>
      <c r="H48" s="281"/>
      <c r="I48" s="59"/>
      <c r="J48" s="59"/>
    </row>
    <row r="49" spans="1:10" x14ac:dyDescent="0.25">
      <c r="A49" s="67"/>
      <c r="B49" s="68"/>
      <c r="C49" s="65" t="s">
        <v>207</v>
      </c>
      <c r="D49" s="66" t="s">
        <v>213</v>
      </c>
      <c r="E49" s="62">
        <v>3591.9</v>
      </c>
      <c r="F49" s="62">
        <v>0</v>
      </c>
      <c r="G49" s="278">
        <v>0</v>
      </c>
      <c r="H49" s="279"/>
      <c r="I49" s="63"/>
      <c r="J49" s="63"/>
    </row>
    <row r="52" spans="1:10" x14ac:dyDescent="0.25">
      <c r="E52" s="46"/>
    </row>
    <row r="54" spans="1:10" x14ac:dyDescent="0.25">
      <c r="E54" s="46"/>
    </row>
    <row r="56" spans="1:10" x14ac:dyDescent="0.25">
      <c r="F56" s="46"/>
    </row>
  </sheetData>
  <mergeCells count="51">
    <mergeCell ref="A27:C27"/>
    <mergeCell ref="A25:D26"/>
    <mergeCell ref="G42:H42"/>
    <mergeCell ref="G43:H43"/>
    <mergeCell ref="A7:D8"/>
    <mergeCell ref="G7:H7"/>
    <mergeCell ref="G8:H8"/>
    <mergeCell ref="G19:H19"/>
    <mergeCell ref="G9:H9"/>
    <mergeCell ref="G10:H10"/>
    <mergeCell ref="G11:H11"/>
    <mergeCell ref="G12:H12"/>
    <mergeCell ref="G13:H13"/>
    <mergeCell ref="G14:H14"/>
    <mergeCell ref="G15:H15"/>
    <mergeCell ref="G16:H16"/>
    <mergeCell ref="A2:J2"/>
    <mergeCell ref="A3:J3"/>
    <mergeCell ref="G4:H4"/>
    <mergeCell ref="A5:J5"/>
    <mergeCell ref="G6:H6"/>
    <mergeCell ref="G17:H17"/>
    <mergeCell ref="G18:H18"/>
    <mergeCell ref="A9:C9"/>
    <mergeCell ref="G25:H25"/>
    <mergeCell ref="G20:H20"/>
    <mergeCell ref="G21:H21"/>
    <mergeCell ref="G22:H22"/>
    <mergeCell ref="G23:H23"/>
    <mergeCell ref="G24:H24"/>
    <mergeCell ref="G36:H3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7:H37"/>
    <mergeCell ref="G38:H38"/>
    <mergeCell ref="G39:H39"/>
    <mergeCell ref="G40:H40"/>
    <mergeCell ref="G41:H41"/>
    <mergeCell ref="G49:H49"/>
    <mergeCell ref="G44:H44"/>
    <mergeCell ref="G45:H45"/>
    <mergeCell ref="G46:H46"/>
    <mergeCell ref="G47:H47"/>
    <mergeCell ref="G48:H48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F11"/>
  <sheetViews>
    <sheetView view="pageLayout" topLeftCell="A2" zoomScale="80" zoomScaleNormal="100" zoomScalePageLayoutView="80" workbookViewId="0">
      <selection activeCell="F11" sqref="F11"/>
    </sheetView>
  </sheetViews>
  <sheetFormatPr defaultRowHeight="15" x14ac:dyDescent="0.25"/>
  <cols>
    <col min="1" max="1" width="46.85546875" style="1" customWidth="1"/>
    <col min="2" max="5" width="45.85546875" style="1" customWidth="1"/>
    <col min="6" max="6" width="32.140625" style="1" customWidth="1"/>
    <col min="7" max="16384" width="9.140625" style="1"/>
  </cols>
  <sheetData>
    <row r="1" spans="1:6" x14ac:dyDescent="0.25">
      <c r="F1" s="92" t="s">
        <v>101</v>
      </c>
    </row>
    <row r="2" spans="1:6" ht="40.5" customHeight="1" x14ac:dyDescent="0.25">
      <c r="A2" s="230" t="s">
        <v>80</v>
      </c>
      <c r="B2" s="230"/>
      <c r="C2" s="230"/>
      <c r="D2" s="230"/>
      <c r="E2" s="230"/>
      <c r="F2" s="230"/>
    </row>
    <row r="3" spans="1:6" ht="19.5" x14ac:dyDescent="0.25">
      <c r="A3" s="3"/>
      <c r="B3" s="3"/>
      <c r="C3" s="3"/>
      <c r="D3" s="3"/>
      <c r="E3" s="3"/>
      <c r="F3" s="93"/>
    </row>
    <row r="4" spans="1:6" ht="15.75" customHeight="1" x14ac:dyDescent="0.25">
      <c r="A4" s="230" t="s">
        <v>102</v>
      </c>
      <c r="B4" s="230"/>
      <c r="C4" s="230"/>
      <c r="D4" s="230"/>
      <c r="E4" s="230"/>
      <c r="F4" s="230"/>
    </row>
    <row r="5" spans="1:6" ht="19.5" x14ac:dyDescent="0.25">
      <c r="A5" s="3"/>
      <c r="B5" s="3"/>
      <c r="C5" s="3"/>
      <c r="D5" s="3"/>
      <c r="E5" s="3"/>
      <c r="F5" s="22"/>
    </row>
    <row r="6" spans="1:6" ht="19.5" x14ac:dyDescent="0.25">
      <c r="A6" s="3"/>
      <c r="B6" s="3" t="s">
        <v>186</v>
      </c>
      <c r="C6" s="3" t="s">
        <v>90</v>
      </c>
      <c r="D6" s="3" t="s">
        <v>187</v>
      </c>
      <c r="E6" s="3" t="s">
        <v>84</v>
      </c>
      <c r="F6" s="3" t="s">
        <v>84</v>
      </c>
    </row>
    <row r="7" spans="1:6" ht="19.5" x14ac:dyDescent="0.25">
      <c r="A7" s="23" t="s">
        <v>10</v>
      </c>
      <c r="B7" s="23">
        <v>2024</v>
      </c>
      <c r="C7" s="23">
        <v>2025</v>
      </c>
      <c r="D7" s="23">
        <v>2026</v>
      </c>
      <c r="E7" s="23">
        <v>2027</v>
      </c>
      <c r="F7" s="23">
        <v>2028</v>
      </c>
    </row>
    <row r="8" spans="1:6" ht="15.75" customHeight="1" x14ac:dyDescent="0.25">
      <c r="A8" s="27" t="s">
        <v>11</v>
      </c>
      <c r="B8" s="94">
        <f>SUM(B9)</f>
        <v>1920162</v>
      </c>
      <c r="C8" s="94">
        <f>SUM(C9)</f>
        <v>3380713</v>
      </c>
      <c r="D8" s="94">
        <v>3670000</v>
      </c>
      <c r="E8" s="94">
        <f t="shared" ref="D8:F9" si="0">SUM(E9)</f>
        <v>3848502</v>
      </c>
      <c r="F8" s="94">
        <f t="shared" si="0"/>
        <v>4035928</v>
      </c>
    </row>
    <row r="9" spans="1:6" ht="15.75" customHeight="1" x14ac:dyDescent="0.25">
      <c r="A9" s="27" t="s">
        <v>56</v>
      </c>
      <c r="B9" s="94">
        <f>SUM(B10)</f>
        <v>1920162</v>
      </c>
      <c r="C9" s="94">
        <f>SUM(C10)</f>
        <v>3380713</v>
      </c>
      <c r="D9" s="94">
        <f t="shared" si="0"/>
        <v>3670000</v>
      </c>
      <c r="E9" s="94">
        <f t="shared" si="0"/>
        <v>3848502</v>
      </c>
      <c r="F9" s="94">
        <f t="shared" si="0"/>
        <v>4035928</v>
      </c>
    </row>
    <row r="10" spans="1:6" ht="15.75" x14ac:dyDescent="0.25">
      <c r="A10" s="95" t="s">
        <v>57</v>
      </c>
      <c r="B10" s="96">
        <v>1920162</v>
      </c>
      <c r="C10" s="96">
        <v>3380713</v>
      </c>
      <c r="D10" s="96">
        <v>3670000</v>
      </c>
      <c r="E10" s="96">
        <v>3848502</v>
      </c>
      <c r="F10" s="96">
        <v>4035928</v>
      </c>
    </row>
    <row r="11" spans="1:6" x14ac:dyDescent="0.25">
      <c r="A11" s="2"/>
      <c r="B11" s="2"/>
      <c r="C11" s="2"/>
      <c r="D11" s="2"/>
      <c r="E11" s="2" t="s">
        <v>188</v>
      </c>
      <c r="F11" s="2"/>
    </row>
  </sheetData>
  <mergeCells count="2">
    <mergeCell ref="A2:F2"/>
    <mergeCell ref="A4:F4"/>
  </mergeCell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M67"/>
  <sheetViews>
    <sheetView tabSelected="1" view="pageBreakPreview" topLeftCell="A37" zoomScaleNormal="90" zoomScaleSheetLayoutView="100" zoomScalePageLayoutView="80" workbookViewId="0">
      <selection activeCell="E71" sqref="E71"/>
    </sheetView>
  </sheetViews>
  <sheetFormatPr defaultRowHeight="15.75" x14ac:dyDescent="0.25"/>
  <cols>
    <col min="1" max="1" width="4.85546875" style="5" customWidth="1"/>
    <col min="2" max="2" width="8.42578125" style="5" bestFit="1" customWidth="1"/>
    <col min="3" max="3" width="12.5703125" style="5" customWidth="1"/>
    <col min="4" max="4" width="72.140625" style="5" customWidth="1"/>
    <col min="5" max="6" width="25.28515625" style="99" customWidth="1"/>
    <col min="7" max="7" width="9.140625" style="73"/>
    <col min="8" max="8" width="11.85546875" style="73" customWidth="1"/>
    <col min="9" max="9" width="9.140625" style="73"/>
    <col min="10" max="10" width="13.140625" style="73" customWidth="1"/>
    <col min="11" max="11" width="9.140625" style="73"/>
    <col min="12" max="12" width="11" style="73" bestFit="1" customWidth="1"/>
    <col min="13" max="13" width="2.7109375" style="5" customWidth="1"/>
    <col min="14" max="16384" width="9.140625" style="5"/>
  </cols>
  <sheetData>
    <row r="1" spans="1:12" x14ac:dyDescent="0.25">
      <c r="J1" s="290" t="s">
        <v>103</v>
      </c>
      <c r="K1" s="290"/>
      <c r="L1" s="290"/>
    </row>
    <row r="2" spans="1:12" ht="42" customHeight="1" x14ac:dyDescent="0.25">
      <c r="A2" s="185" t="s">
        <v>214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18" customHeight="1" x14ac:dyDescent="0.25">
      <c r="A3" s="185" t="s">
        <v>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18" customHeight="1" x14ac:dyDescent="0.25">
      <c r="A4" s="6"/>
      <c r="B4" s="6"/>
      <c r="C4" s="6"/>
      <c r="D4" s="6"/>
      <c r="E4" s="77"/>
      <c r="F4" s="77"/>
    </row>
    <row r="5" spans="1:12" ht="25.5" customHeight="1" x14ac:dyDescent="0.25">
      <c r="A5" s="300" t="s">
        <v>14</v>
      </c>
      <c r="B5" s="300"/>
      <c r="C5" s="300"/>
      <c r="D5" s="100" t="s">
        <v>15</v>
      </c>
      <c r="E5" s="101" t="s">
        <v>189</v>
      </c>
      <c r="F5" s="101" t="s">
        <v>216</v>
      </c>
      <c r="G5" s="330" t="s">
        <v>215</v>
      </c>
      <c r="H5" s="330"/>
      <c r="I5" s="330" t="s">
        <v>75</v>
      </c>
      <c r="J5" s="330"/>
      <c r="K5" s="330" t="s">
        <v>217</v>
      </c>
      <c r="L5" s="330"/>
    </row>
    <row r="6" spans="1:12" s="102" customFormat="1" ht="21.75" customHeight="1" x14ac:dyDescent="0.25">
      <c r="A6" s="299" t="s">
        <v>23</v>
      </c>
      <c r="B6" s="299"/>
      <c r="C6" s="299"/>
      <c r="D6" s="143" t="s">
        <v>24</v>
      </c>
      <c r="E6" s="144">
        <f t="shared" ref="E6:G8" si="0">SUM(E7)</f>
        <v>2034674.98</v>
      </c>
      <c r="F6" s="144">
        <f t="shared" si="0"/>
        <v>3380713</v>
      </c>
      <c r="G6" s="324">
        <f t="shared" si="0"/>
        <v>3670000</v>
      </c>
      <c r="H6" s="324"/>
      <c r="I6" s="324">
        <f>SUM(I9)</f>
        <v>3848502</v>
      </c>
      <c r="J6" s="324"/>
      <c r="K6" s="324">
        <f>SUM(K7)</f>
        <v>4035928</v>
      </c>
      <c r="L6" s="324"/>
    </row>
    <row r="7" spans="1:12" s="102" customFormat="1" x14ac:dyDescent="0.25">
      <c r="A7" s="301" t="s">
        <v>25</v>
      </c>
      <c r="B7" s="302"/>
      <c r="C7" s="145"/>
      <c r="D7" s="143" t="s">
        <v>26</v>
      </c>
      <c r="E7" s="144">
        <f t="shared" si="0"/>
        <v>2034674.98</v>
      </c>
      <c r="F7" s="144">
        <f t="shared" si="0"/>
        <v>3380713</v>
      </c>
      <c r="G7" s="324">
        <f t="shared" si="0"/>
        <v>3670000</v>
      </c>
      <c r="H7" s="324"/>
      <c r="I7" s="324">
        <f>SUM(I9)</f>
        <v>3848502</v>
      </c>
      <c r="J7" s="324"/>
      <c r="K7" s="324">
        <f>SUM(K8)</f>
        <v>4035928</v>
      </c>
      <c r="L7" s="324"/>
    </row>
    <row r="8" spans="1:12" s="102" customFormat="1" ht="20.25" customHeight="1" x14ac:dyDescent="0.25">
      <c r="A8" s="299" t="s">
        <v>27</v>
      </c>
      <c r="B8" s="299"/>
      <c r="C8" s="299"/>
      <c r="D8" s="143" t="s">
        <v>28</v>
      </c>
      <c r="E8" s="144">
        <f t="shared" si="0"/>
        <v>2034674.98</v>
      </c>
      <c r="F8" s="144">
        <f t="shared" si="0"/>
        <v>3380713</v>
      </c>
      <c r="G8" s="324">
        <f t="shared" si="0"/>
        <v>3670000</v>
      </c>
      <c r="H8" s="324"/>
      <c r="I8" s="324">
        <f>SUM(I9)</f>
        <v>3848502</v>
      </c>
      <c r="J8" s="324"/>
      <c r="K8" s="324">
        <f>SUM(K9)</f>
        <v>4035928</v>
      </c>
      <c r="L8" s="324"/>
    </row>
    <row r="9" spans="1:12" s="102" customFormat="1" ht="19.5" customHeight="1" x14ac:dyDescent="0.25">
      <c r="A9" s="299" t="s">
        <v>29</v>
      </c>
      <c r="B9" s="299"/>
      <c r="C9" s="299"/>
      <c r="D9" s="143" t="s">
        <v>69</v>
      </c>
      <c r="E9" s="144">
        <f>E10+E21+E31+E39</f>
        <v>2034674.98</v>
      </c>
      <c r="F9" s="144">
        <f>F10+F21+F31+F39</f>
        <v>3380713</v>
      </c>
      <c r="G9" s="324">
        <f>G21+G31+G39</f>
        <v>3670000</v>
      </c>
      <c r="H9" s="324"/>
      <c r="I9" s="324">
        <v>3848502</v>
      </c>
      <c r="J9" s="324"/>
      <c r="K9" s="324">
        <v>4035928</v>
      </c>
      <c r="L9" s="324"/>
    </row>
    <row r="10" spans="1:12" s="102" customFormat="1" x14ac:dyDescent="0.25">
      <c r="A10" s="299" t="s">
        <v>30</v>
      </c>
      <c r="B10" s="299"/>
      <c r="C10" s="299"/>
      <c r="D10" s="143" t="s">
        <v>31</v>
      </c>
      <c r="E10" s="144">
        <f>E11+E16</f>
        <v>113606.53</v>
      </c>
      <c r="F10" s="144">
        <f>F11+F16</f>
        <v>163700</v>
      </c>
      <c r="G10" s="324"/>
      <c r="H10" s="324"/>
      <c r="I10" s="324">
        <v>0</v>
      </c>
      <c r="J10" s="324"/>
      <c r="K10" s="324">
        <v>0</v>
      </c>
      <c r="L10" s="324"/>
    </row>
    <row r="11" spans="1:12" s="102" customFormat="1" ht="16.5" customHeight="1" x14ac:dyDescent="0.25">
      <c r="A11" s="308" t="s">
        <v>32</v>
      </c>
      <c r="B11" s="308"/>
      <c r="C11" s="308"/>
      <c r="D11" s="103" t="s">
        <v>33</v>
      </c>
      <c r="E11" s="104">
        <f>SUM(E12)</f>
        <v>8798.5300000000007</v>
      </c>
      <c r="F11" s="104">
        <f>SUM(F12)</f>
        <v>8892</v>
      </c>
      <c r="G11" s="325">
        <f>SUM(G12)</f>
        <v>0</v>
      </c>
      <c r="H11" s="325"/>
      <c r="I11" s="325">
        <v>0</v>
      </c>
      <c r="J11" s="325"/>
      <c r="K11" s="325">
        <v>0</v>
      </c>
      <c r="L11" s="325"/>
    </row>
    <row r="12" spans="1:12" ht="15" customHeight="1" x14ac:dyDescent="0.25">
      <c r="A12" s="306" t="s">
        <v>61</v>
      </c>
      <c r="B12" s="306"/>
      <c r="C12" s="306"/>
      <c r="D12" s="105" t="s">
        <v>6</v>
      </c>
      <c r="E12" s="106">
        <f>SUM(E13)</f>
        <v>8798.5300000000007</v>
      </c>
      <c r="F12" s="106">
        <v>8892</v>
      </c>
      <c r="G12" s="296">
        <f>SUM(G13)</f>
        <v>0</v>
      </c>
      <c r="H12" s="297"/>
      <c r="I12" s="296">
        <v>0</v>
      </c>
      <c r="J12" s="297"/>
      <c r="K12" s="296">
        <v>0</v>
      </c>
      <c r="L12" s="297"/>
    </row>
    <row r="13" spans="1:12" ht="14.25" customHeight="1" x14ac:dyDescent="0.25">
      <c r="A13" s="305">
        <v>3</v>
      </c>
      <c r="B13" s="305"/>
      <c r="C13" s="305"/>
      <c r="D13" s="107" t="s">
        <v>7</v>
      </c>
      <c r="E13" s="108">
        <f>E15+E14</f>
        <v>8798.5300000000007</v>
      </c>
      <c r="F13" s="108">
        <f>SUM(F15)</f>
        <v>8892</v>
      </c>
      <c r="G13" s="318">
        <f>SUM(G14:H15)</f>
        <v>0</v>
      </c>
      <c r="H13" s="318"/>
      <c r="I13" s="318">
        <v>0</v>
      </c>
      <c r="J13" s="318"/>
      <c r="K13" s="318">
        <v>0</v>
      </c>
      <c r="L13" s="318"/>
    </row>
    <row r="14" spans="1:12" ht="15" customHeight="1" x14ac:dyDescent="0.25">
      <c r="A14" s="307">
        <v>31</v>
      </c>
      <c r="B14" s="307"/>
      <c r="C14" s="307"/>
      <c r="D14" s="109" t="s">
        <v>8</v>
      </c>
      <c r="E14" s="110">
        <v>0</v>
      </c>
      <c r="F14" s="110">
        <v>0</v>
      </c>
      <c r="G14" s="298">
        <v>0</v>
      </c>
      <c r="H14" s="298"/>
      <c r="I14" s="298">
        <v>0</v>
      </c>
      <c r="J14" s="298"/>
      <c r="K14" s="298">
        <v>0</v>
      </c>
      <c r="L14" s="298"/>
    </row>
    <row r="15" spans="1:12" ht="15" customHeight="1" x14ac:dyDescent="0.25">
      <c r="A15" s="307">
        <v>32</v>
      </c>
      <c r="B15" s="307"/>
      <c r="C15" s="307"/>
      <c r="D15" s="109" t="s">
        <v>16</v>
      </c>
      <c r="E15" s="110">
        <v>8798.5300000000007</v>
      </c>
      <c r="F15" s="110">
        <v>8892</v>
      </c>
      <c r="G15" s="298">
        <v>0</v>
      </c>
      <c r="H15" s="298"/>
      <c r="I15" s="298">
        <v>0</v>
      </c>
      <c r="J15" s="298"/>
      <c r="K15" s="298">
        <v>0</v>
      </c>
      <c r="L15" s="298"/>
    </row>
    <row r="16" spans="1:12" s="102" customFormat="1" ht="15" customHeight="1" x14ac:dyDescent="0.25">
      <c r="A16" s="305" t="s">
        <v>34</v>
      </c>
      <c r="B16" s="305"/>
      <c r="C16" s="305"/>
      <c r="D16" s="107" t="s">
        <v>35</v>
      </c>
      <c r="E16" s="108">
        <f>SUM(E17)</f>
        <v>104808</v>
      </c>
      <c r="F16" s="108">
        <f>SUM(F18)</f>
        <v>154808</v>
      </c>
      <c r="G16" s="283">
        <f>SUM(G18)</f>
        <v>0</v>
      </c>
      <c r="H16" s="284"/>
      <c r="I16" s="283"/>
      <c r="J16" s="284"/>
      <c r="K16" s="283">
        <v>0</v>
      </c>
      <c r="L16" s="284"/>
    </row>
    <row r="17" spans="1:12" ht="18" customHeight="1" x14ac:dyDescent="0.25">
      <c r="A17" s="306" t="s">
        <v>60</v>
      </c>
      <c r="B17" s="306"/>
      <c r="C17" s="306"/>
      <c r="D17" s="105" t="s">
        <v>65</v>
      </c>
      <c r="E17" s="106">
        <f>SUM(E18)</f>
        <v>104808</v>
      </c>
      <c r="F17" s="106">
        <f>SUM(F18)</f>
        <v>154808</v>
      </c>
      <c r="G17" s="296">
        <f>SUM(G19)</f>
        <v>0</v>
      </c>
      <c r="H17" s="297"/>
      <c r="I17" s="296">
        <v>0</v>
      </c>
      <c r="J17" s="297"/>
      <c r="K17" s="296">
        <v>0</v>
      </c>
      <c r="L17" s="297"/>
    </row>
    <row r="18" spans="1:12" ht="15" customHeight="1" x14ac:dyDescent="0.25">
      <c r="A18" s="305">
        <v>3</v>
      </c>
      <c r="B18" s="305"/>
      <c r="C18" s="305"/>
      <c r="D18" s="107" t="s">
        <v>7</v>
      </c>
      <c r="E18" s="108">
        <f>SUM(E19)</f>
        <v>104808</v>
      </c>
      <c r="F18" s="108">
        <f>SUM(F19)</f>
        <v>154808</v>
      </c>
      <c r="G18" s="283">
        <f>SUM(G19)</f>
        <v>0</v>
      </c>
      <c r="H18" s="284"/>
      <c r="I18" s="283">
        <v>0</v>
      </c>
      <c r="J18" s="284"/>
      <c r="K18" s="283">
        <v>0</v>
      </c>
      <c r="L18" s="284"/>
    </row>
    <row r="19" spans="1:12" ht="15" customHeight="1" x14ac:dyDescent="0.25">
      <c r="A19" s="291">
        <v>31</v>
      </c>
      <c r="B19" s="292"/>
      <c r="C19" s="293"/>
      <c r="D19" s="109" t="s">
        <v>8</v>
      </c>
      <c r="E19" s="110">
        <v>104808</v>
      </c>
      <c r="F19" s="110">
        <v>154808</v>
      </c>
      <c r="G19" s="205">
        <v>0</v>
      </c>
      <c r="H19" s="206"/>
      <c r="I19" s="205">
        <v>0</v>
      </c>
      <c r="J19" s="206"/>
      <c r="K19" s="205">
        <v>0</v>
      </c>
      <c r="L19" s="206"/>
    </row>
    <row r="20" spans="1:12" ht="15" customHeight="1" x14ac:dyDescent="0.25">
      <c r="A20" s="111">
        <v>32</v>
      </c>
      <c r="B20" s="112"/>
      <c r="C20" s="113"/>
      <c r="D20" s="109" t="s">
        <v>16</v>
      </c>
      <c r="E20" s="110">
        <v>0</v>
      </c>
      <c r="F20" s="110">
        <v>0</v>
      </c>
      <c r="G20" s="205">
        <v>0</v>
      </c>
      <c r="H20" s="206"/>
      <c r="I20" s="205">
        <v>0</v>
      </c>
      <c r="J20" s="206"/>
      <c r="K20" s="205">
        <v>0</v>
      </c>
      <c r="L20" s="206"/>
    </row>
    <row r="21" spans="1:12" s="102" customFormat="1" ht="16.5" customHeight="1" x14ac:dyDescent="0.25">
      <c r="A21" s="309" t="s">
        <v>36</v>
      </c>
      <c r="B21" s="309"/>
      <c r="C21" s="309"/>
      <c r="D21" s="97" t="s">
        <v>37</v>
      </c>
      <c r="E21" s="98">
        <f>SUM(E22+E27)</f>
        <v>598958.44999999995</v>
      </c>
      <c r="F21" s="98">
        <f>F22+F27</f>
        <v>694794</v>
      </c>
      <c r="G21" s="329">
        <f>G22+G27</f>
        <v>694794</v>
      </c>
      <c r="H21" s="329"/>
      <c r="I21" s="329">
        <f>I22+I27</f>
        <v>729533</v>
      </c>
      <c r="J21" s="329"/>
      <c r="K21" s="329">
        <f>K22+K27</f>
        <v>766010</v>
      </c>
      <c r="L21" s="329"/>
    </row>
    <row r="22" spans="1:12" s="102" customFormat="1" ht="15.75" customHeight="1" x14ac:dyDescent="0.25">
      <c r="A22" s="319" t="s">
        <v>38</v>
      </c>
      <c r="B22" s="319"/>
      <c r="C22" s="319"/>
      <c r="D22" s="114" t="s">
        <v>39</v>
      </c>
      <c r="E22" s="115">
        <f>SUM(E23)</f>
        <v>592609</v>
      </c>
      <c r="F22" s="115">
        <f t="shared" ref="F22:F23" si="1">SUM(F23)</f>
        <v>654977</v>
      </c>
      <c r="G22" s="326">
        <f>SUM(G23)</f>
        <v>654977</v>
      </c>
      <c r="H22" s="326"/>
      <c r="I22" s="326">
        <f>SUM(I24)</f>
        <v>687725</v>
      </c>
      <c r="J22" s="326"/>
      <c r="K22" s="326">
        <v>722111</v>
      </c>
      <c r="L22" s="326"/>
    </row>
    <row r="23" spans="1:12" ht="18" customHeight="1" x14ac:dyDescent="0.25">
      <c r="A23" s="306" t="s">
        <v>60</v>
      </c>
      <c r="B23" s="306"/>
      <c r="C23" s="306"/>
      <c r="D23" s="105" t="s">
        <v>66</v>
      </c>
      <c r="E23" s="106">
        <f>SUM(E24)</f>
        <v>592609</v>
      </c>
      <c r="F23" s="106">
        <f t="shared" si="1"/>
        <v>654977</v>
      </c>
      <c r="G23" s="311">
        <f>SUM(G24)</f>
        <v>654977</v>
      </c>
      <c r="H23" s="311"/>
      <c r="I23" s="311">
        <f>SUM(I24)</f>
        <v>687725</v>
      </c>
      <c r="J23" s="311"/>
      <c r="K23" s="311">
        <v>722111</v>
      </c>
      <c r="L23" s="311"/>
    </row>
    <row r="24" spans="1:12" ht="15" customHeight="1" x14ac:dyDescent="0.25">
      <c r="A24" s="305">
        <v>3</v>
      </c>
      <c r="B24" s="305"/>
      <c r="C24" s="305"/>
      <c r="D24" s="107" t="s">
        <v>7</v>
      </c>
      <c r="E24" s="108">
        <f>SUM(E25)</f>
        <v>592609</v>
      </c>
      <c r="F24" s="108">
        <f>SUM(F25:F26)</f>
        <v>654977</v>
      </c>
      <c r="G24" s="318">
        <v>654977</v>
      </c>
      <c r="H24" s="318"/>
      <c r="I24" s="318">
        <f>SUM(I25:J26)</f>
        <v>687725</v>
      </c>
      <c r="J24" s="318"/>
      <c r="K24" s="318">
        <f>SUM(K25:L26)</f>
        <v>722111</v>
      </c>
      <c r="L24" s="318"/>
    </row>
    <row r="25" spans="1:12" ht="15" customHeight="1" x14ac:dyDescent="0.25">
      <c r="A25" s="307">
        <v>31</v>
      </c>
      <c r="B25" s="307"/>
      <c r="C25" s="307"/>
      <c r="D25" s="109" t="s">
        <v>8</v>
      </c>
      <c r="E25" s="110">
        <v>592609</v>
      </c>
      <c r="F25" s="110">
        <v>635069</v>
      </c>
      <c r="G25" s="294">
        <v>635069</v>
      </c>
      <c r="H25" s="295"/>
      <c r="I25" s="294">
        <v>666822</v>
      </c>
      <c r="J25" s="295"/>
      <c r="K25" s="298">
        <v>700163</v>
      </c>
      <c r="L25" s="298"/>
    </row>
    <row r="26" spans="1:12" ht="15" customHeight="1" x14ac:dyDescent="0.25">
      <c r="A26" s="307">
        <v>32</v>
      </c>
      <c r="B26" s="307"/>
      <c r="C26" s="307"/>
      <c r="D26" s="109" t="s">
        <v>16</v>
      </c>
      <c r="E26" s="110">
        <v>0</v>
      </c>
      <c r="F26" s="110">
        <v>19908</v>
      </c>
      <c r="G26" s="294">
        <v>19908</v>
      </c>
      <c r="H26" s="295"/>
      <c r="I26" s="294">
        <v>20903</v>
      </c>
      <c r="J26" s="295"/>
      <c r="K26" s="298">
        <v>21948</v>
      </c>
      <c r="L26" s="298"/>
    </row>
    <row r="27" spans="1:12" s="102" customFormat="1" ht="28.5" customHeight="1" x14ac:dyDescent="0.25">
      <c r="A27" s="305" t="s">
        <v>40</v>
      </c>
      <c r="B27" s="305"/>
      <c r="C27" s="305"/>
      <c r="D27" s="107" t="s">
        <v>41</v>
      </c>
      <c r="E27" s="108">
        <f>SUM(E28)</f>
        <v>6349.45</v>
      </c>
      <c r="F27" s="108">
        <f>SUM(F28)</f>
        <v>39817</v>
      </c>
      <c r="G27" s="318">
        <f>SUM(G28)</f>
        <v>39817</v>
      </c>
      <c r="H27" s="318"/>
      <c r="I27" s="318">
        <v>41808</v>
      </c>
      <c r="J27" s="318"/>
      <c r="K27" s="318">
        <v>43899</v>
      </c>
      <c r="L27" s="318"/>
    </row>
    <row r="28" spans="1:12" ht="21" customHeight="1" x14ac:dyDescent="0.25">
      <c r="A28" s="306" t="s">
        <v>60</v>
      </c>
      <c r="B28" s="306"/>
      <c r="C28" s="306"/>
      <c r="D28" s="105" t="s">
        <v>42</v>
      </c>
      <c r="E28" s="106">
        <f>SUM(E29)</f>
        <v>6349.45</v>
      </c>
      <c r="F28" s="106">
        <v>39817</v>
      </c>
      <c r="G28" s="311">
        <f>SUM(G29)</f>
        <v>39817</v>
      </c>
      <c r="H28" s="311"/>
      <c r="I28" s="311">
        <v>41808</v>
      </c>
      <c r="J28" s="311"/>
      <c r="K28" s="311">
        <v>43898</v>
      </c>
      <c r="L28" s="311"/>
    </row>
    <row r="29" spans="1:12" ht="17.25" customHeight="1" x14ac:dyDescent="0.25">
      <c r="A29" s="116">
        <v>4</v>
      </c>
      <c r="B29" s="117"/>
      <c r="C29" s="118"/>
      <c r="D29" s="107" t="s">
        <v>9</v>
      </c>
      <c r="E29" s="108">
        <f>SUM(E30)</f>
        <v>6349.45</v>
      </c>
      <c r="F29" s="108">
        <v>39817</v>
      </c>
      <c r="G29" s="318">
        <v>39817</v>
      </c>
      <c r="H29" s="318"/>
      <c r="I29" s="318">
        <v>41808</v>
      </c>
      <c r="J29" s="318"/>
      <c r="K29" s="318">
        <v>43898</v>
      </c>
      <c r="L29" s="318"/>
    </row>
    <row r="30" spans="1:12" ht="15.75" customHeight="1" x14ac:dyDescent="0.25">
      <c r="A30" s="291">
        <v>42</v>
      </c>
      <c r="B30" s="292"/>
      <c r="C30" s="293"/>
      <c r="D30" s="109" t="s">
        <v>22</v>
      </c>
      <c r="E30" s="110">
        <v>6349.45</v>
      </c>
      <c r="F30" s="110">
        <v>39817</v>
      </c>
      <c r="G30" s="298">
        <v>39817</v>
      </c>
      <c r="H30" s="298"/>
      <c r="I30" s="298">
        <v>41808</v>
      </c>
      <c r="J30" s="298"/>
      <c r="K30" s="298">
        <v>43898</v>
      </c>
      <c r="L30" s="298"/>
    </row>
    <row r="31" spans="1:12" s="102" customFormat="1" ht="15.75" customHeight="1" x14ac:dyDescent="0.25">
      <c r="A31" s="309" t="s">
        <v>43</v>
      </c>
      <c r="B31" s="309"/>
      <c r="C31" s="309"/>
      <c r="D31" s="97" t="s">
        <v>44</v>
      </c>
      <c r="E31" s="98">
        <v>0</v>
      </c>
      <c r="F31" s="98">
        <f t="shared" ref="F31:F32" si="2">SUM(F32)</f>
        <v>199360</v>
      </c>
      <c r="G31" s="329">
        <v>300400</v>
      </c>
      <c r="H31" s="329"/>
      <c r="I31" s="327">
        <f>SUM(I32)</f>
        <v>315421</v>
      </c>
      <c r="J31" s="328"/>
      <c r="K31" s="329">
        <f>SUM(K32)</f>
        <v>331195</v>
      </c>
      <c r="L31" s="329"/>
    </row>
    <row r="32" spans="1:12" s="102" customFormat="1" ht="15" customHeight="1" x14ac:dyDescent="0.25">
      <c r="A32" s="319" t="s">
        <v>45</v>
      </c>
      <c r="B32" s="319"/>
      <c r="C32" s="319"/>
      <c r="D32" s="114" t="s">
        <v>46</v>
      </c>
      <c r="E32" s="115">
        <v>0</v>
      </c>
      <c r="F32" s="115">
        <f t="shared" si="2"/>
        <v>199360</v>
      </c>
      <c r="G32" s="326">
        <v>300400</v>
      </c>
      <c r="H32" s="326"/>
      <c r="I32" s="326">
        <f>SUM(I34)</f>
        <v>315421</v>
      </c>
      <c r="J32" s="326"/>
      <c r="K32" s="326">
        <f>SUM(K34)</f>
        <v>331195</v>
      </c>
      <c r="L32" s="326"/>
    </row>
    <row r="33" spans="1:13" ht="17.25" customHeight="1" x14ac:dyDescent="0.25">
      <c r="A33" s="306" t="s">
        <v>219</v>
      </c>
      <c r="B33" s="306"/>
      <c r="C33" s="306"/>
      <c r="D33" s="105" t="s">
        <v>17</v>
      </c>
      <c r="E33" s="106">
        <v>0</v>
      </c>
      <c r="F33" s="106">
        <f>F34+F37</f>
        <v>199360</v>
      </c>
      <c r="G33" s="311">
        <v>300400</v>
      </c>
      <c r="H33" s="311"/>
      <c r="I33" s="311">
        <f>SUM(I34)</f>
        <v>315421</v>
      </c>
      <c r="J33" s="311"/>
      <c r="K33" s="311">
        <f>SUM(K34)</f>
        <v>331195</v>
      </c>
      <c r="L33" s="311"/>
    </row>
    <row r="34" spans="1:13" ht="15" customHeight="1" x14ac:dyDescent="0.25">
      <c r="A34" s="305">
        <v>3</v>
      </c>
      <c r="B34" s="305"/>
      <c r="C34" s="305"/>
      <c r="D34" s="107" t="s">
        <v>7</v>
      </c>
      <c r="E34" s="108">
        <v>0</v>
      </c>
      <c r="F34" s="108">
        <f>SUM(F35:F36)</f>
        <v>191360</v>
      </c>
      <c r="G34" s="318">
        <f>SUM(G35:H36)</f>
        <v>300400</v>
      </c>
      <c r="H34" s="318"/>
      <c r="I34" s="318">
        <f>SUM(I35:J36)</f>
        <v>315421</v>
      </c>
      <c r="J34" s="318"/>
      <c r="K34" s="318">
        <f>SUM(K35:L36)</f>
        <v>331195</v>
      </c>
      <c r="L34" s="318"/>
    </row>
    <row r="35" spans="1:13" ht="15" customHeight="1" x14ac:dyDescent="0.25">
      <c r="A35" s="307">
        <v>31</v>
      </c>
      <c r="B35" s="307"/>
      <c r="C35" s="307"/>
      <c r="D35" s="109" t="s">
        <v>8</v>
      </c>
      <c r="E35" s="110">
        <v>0</v>
      </c>
      <c r="F35" s="110">
        <v>129815</v>
      </c>
      <c r="G35" s="298">
        <v>116500</v>
      </c>
      <c r="H35" s="298"/>
      <c r="I35" s="298">
        <v>122325</v>
      </c>
      <c r="J35" s="298"/>
      <c r="K35" s="298">
        <v>128441</v>
      </c>
      <c r="L35" s="298"/>
    </row>
    <row r="36" spans="1:13" ht="15" customHeight="1" x14ac:dyDescent="0.25">
      <c r="A36" s="307">
        <v>32</v>
      </c>
      <c r="B36" s="307"/>
      <c r="C36" s="307"/>
      <c r="D36" s="109" t="s">
        <v>16</v>
      </c>
      <c r="E36" s="110">
        <v>0</v>
      </c>
      <c r="F36" s="110">
        <v>61545</v>
      </c>
      <c r="G36" s="298">
        <v>183900</v>
      </c>
      <c r="H36" s="298"/>
      <c r="I36" s="298">
        <v>193096</v>
      </c>
      <c r="J36" s="298"/>
      <c r="K36" s="298">
        <v>202754</v>
      </c>
      <c r="L36" s="298"/>
    </row>
    <row r="37" spans="1:13" ht="15" customHeight="1" x14ac:dyDescent="0.25">
      <c r="A37" s="291">
        <v>4</v>
      </c>
      <c r="B37" s="292"/>
      <c r="C37" s="293"/>
      <c r="D37" s="109" t="s">
        <v>9</v>
      </c>
      <c r="E37" s="110">
        <v>0</v>
      </c>
      <c r="F37" s="110">
        <v>8000</v>
      </c>
      <c r="G37" s="283">
        <v>0</v>
      </c>
      <c r="H37" s="284"/>
      <c r="I37" s="283">
        <v>0</v>
      </c>
      <c r="J37" s="284"/>
      <c r="K37" s="283">
        <v>0</v>
      </c>
      <c r="L37" s="284"/>
    </row>
    <row r="38" spans="1:13" ht="15" customHeight="1" x14ac:dyDescent="0.25">
      <c r="A38" s="291">
        <v>45</v>
      </c>
      <c r="B38" s="292"/>
      <c r="C38" s="293"/>
      <c r="D38" s="109" t="s">
        <v>220</v>
      </c>
      <c r="E38" s="110">
        <v>0</v>
      </c>
      <c r="F38" s="110">
        <v>8000</v>
      </c>
      <c r="G38" s="294">
        <v>0</v>
      </c>
      <c r="H38" s="295"/>
      <c r="I38" s="294">
        <v>0</v>
      </c>
      <c r="J38" s="295"/>
      <c r="K38" s="294">
        <v>0</v>
      </c>
      <c r="L38" s="295"/>
    </row>
    <row r="39" spans="1:13" s="102" customFormat="1" ht="19.5" customHeight="1" x14ac:dyDescent="0.25">
      <c r="A39" s="309" t="s">
        <v>47</v>
      </c>
      <c r="B39" s="309"/>
      <c r="C39" s="309"/>
      <c r="D39" s="97" t="s">
        <v>48</v>
      </c>
      <c r="E39" s="98">
        <v>1322110</v>
      </c>
      <c r="F39" s="98">
        <f>F40+F60</f>
        <v>2322859</v>
      </c>
      <c r="G39" s="329">
        <f>SUM(G40)</f>
        <v>2674806</v>
      </c>
      <c r="H39" s="329"/>
      <c r="I39" s="329">
        <v>2703548</v>
      </c>
      <c r="J39" s="329"/>
      <c r="K39" s="329">
        <v>2838727</v>
      </c>
      <c r="L39" s="329"/>
    </row>
    <row r="40" spans="1:13" s="102" customFormat="1" ht="15" customHeight="1" x14ac:dyDescent="0.25">
      <c r="A40" s="310" t="s">
        <v>45</v>
      </c>
      <c r="B40" s="310"/>
      <c r="C40" s="310"/>
      <c r="D40" s="119" t="s">
        <v>49</v>
      </c>
      <c r="E40" s="120">
        <v>1310667.99</v>
      </c>
      <c r="F40" s="120">
        <f>F42+F47</f>
        <v>2317859</v>
      </c>
      <c r="G40" s="331">
        <f>G47</f>
        <v>2674806</v>
      </c>
      <c r="H40" s="331"/>
      <c r="I40" s="331">
        <v>2703548</v>
      </c>
      <c r="J40" s="331"/>
      <c r="K40" s="331">
        <v>2838727</v>
      </c>
      <c r="L40" s="331"/>
      <c r="M40" s="121"/>
    </row>
    <row r="41" spans="1:13" s="102" customFormat="1" ht="15" customHeight="1" x14ac:dyDescent="0.25">
      <c r="A41" s="315" t="s">
        <v>61</v>
      </c>
      <c r="B41" s="316"/>
      <c r="C41" s="317"/>
      <c r="D41" s="105" t="s">
        <v>6</v>
      </c>
      <c r="E41" s="106">
        <v>70000</v>
      </c>
      <c r="F41" s="106">
        <f>SUM(F42)</f>
        <v>135000</v>
      </c>
      <c r="G41" s="311">
        <v>0</v>
      </c>
      <c r="H41" s="311"/>
      <c r="I41" s="311"/>
      <c r="J41" s="311"/>
      <c r="K41" s="311">
        <v>0</v>
      </c>
      <c r="L41" s="311"/>
      <c r="M41" s="121"/>
    </row>
    <row r="42" spans="1:13" s="102" customFormat="1" ht="15" customHeight="1" x14ac:dyDescent="0.25">
      <c r="A42" s="312">
        <v>3</v>
      </c>
      <c r="B42" s="313"/>
      <c r="C42" s="314"/>
      <c r="D42" s="107" t="s">
        <v>7</v>
      </c>
      <c r="E42" s="108">
        <v>70000</v>
      </c>
      <c r="F42" s="108">
        <f>SUM(F43)</f>
        <v>135000</v>
      </c>
      <c r="G42" s="318">
        <v>0</v>
      </c>
      <c r="H42" s="318"/>
      <c r="I42" s="318"/>
      <c r="J42" s="318"/>
      <c r="K42" s="318">
        <v>0</v>
      </c>
      <c r="L42" s="318"/>
      <c r="M42" s="121"/>
    </row>
    <row r="43" spans="1:13" s="102" customFormat="1" ht="15" customHeight="1" x14ac:dyDescent="0.25">
      <c r="A43" s="291">
        <v>31</v>
      </c>
      <c r="B43" s="292"/>
      <c r="C43" s="293"/>
      <c r="D43" s="109" t="s">
        <v>8</v>
      </c>
      <c r="E43" s="110">
        <v>70000</v>
      </c>
      <c r="F43" s="110">
        <v>135000</v>
      </c>
      <c r="G43" s="298">
        <v>0</v>
      </c>
      <c r="H43" s="298"/>
      <c r="I43" s="298"/>
      <c r="J43" s="298"/>
      <c r="K43" s="298">
        <v>0</v>
      </c>
      <c r="L43" s="298"/>
      <c r="M43" s="121"/>
    </row>
    <row r="44" spans="1:13" s="147" customFormat="1" ht="15" customHeight="1" x14ac:dyDescent="0.25">
      <c r="A44" s="315" t="s">
        <v>218</v>
      </c>
      <c r="B44" s="316"/>
      <c r="C44" s="317"/>
      <c r="D44" s="105" t="s">
        <v>6</v>
      </c>
      <c r="E44" s="106">
        <v>100000</v>
      </c>
      <c r="F44" s="106"/>
      <c r="G44" s="296">
        <v>0</v>
      </c>
      <c r="H44" s="297"/>
      <c r="I44" s="332"/>
      <c r="J44" s="333"/>
      <c r="K44" s="296"/>
      <c r="L44" s="297"/>
      <c r="M44" s="146"/>
    </row>
    <row r="45" spans="1:13" s="102" customFormat="1" ht="15" customHeight="1" x14ac:dyDescent="0.25">
      <c r="A45" s="111">
        <v>3</v>
      </c>
      <c r="B45" s="112"/>
      <c r="C45" s="113"/>
      <c r="D45" s="109" t="s">
        <v>7</v>
      </c>
      <c r="E45" s="110">
        <v>100000</v>
      </c>
      <c r="F45" s="110">
        <v>0</v>
      </c>
      <c r="G45" s="235">
        <v>0</v>
      </c>
      <c r="H45" s="236"/>
      <c r="I45" s="334"/>
      <c r="J45" s="335"/>
      <c r="K45" s="235">
        <v>0</v>
      </c>
      <c r="L45" s="236"/>
      <c r="M45" s="121"/>
    </row>
    <row r="46" spans="1:13" s="102" customFormat="1" ht="15" customHeight="1" x14ac:dyDescent="0.25">
      <c r="A46" s="111">
        <v>31</v>
      </c>
      <c r="B46" s="112"/>
      <c r="C46" s="113"/>
      <c r="D46" s="109" t="s">
        <v>8</v>
      </c>
      <c r="E46" s="110">
        <v>100000</v>
      </c>
      <c r="F46" s="102">
        <v>0</v>
      </c>
      <c r="G46" s="235">
        <v>0</v>
      </c>
      <c r="H46" s="236"/>
      <c r="I46" s="334"/>
      <c r="J46" s="335"/>
      <c r="K46" s="205">
        <v>0</v>
      </c>
      <c r="L46" s="206"/>
      <c r="M46" s="121"/>
    </row>
    <row r="47" spans="1:13" ht="22.5" customHeight="1" x14ac:dyDescent="0.25">
      <c r="A47" s="306" t="s">
        <v>62</v>
      </c>
      <c r="B47" s="306"/>
      <c r="C47" s="306"/>
      <c r="D47" s="105" t="s">
        <v>50</v>
      </c>
      <c r="E47" s="106">
        <f>E48+E52</f>
        <v>1137076.49</v>
      </c>
      <c r="F47" s="106">
        <f>F48+F52</f>
        <v>2182859</v>
      </c>
      <c r="G47" s="311">
        <f>G48+G52</f>
        <v>2674806</v>
      </c>
      <c r="H47" s="311"/>
      <c r="I47" s="311">
        <f>I48+I52</f>
        <v>2703548</v>
      </c>
      <c r="J47" s="311"/>
      <c r="K47" s="311">
        <f>K48+K52</f>
        <v>2838727</v>
      </c>
      <c r="L47" s="311"/>
    </row>
    <row r="48" spans="1:13" ht="15" customHeight="1" x14ac:dyDescent="0.25">
      <c r="A48" s="305">
        <v>3</v>
      </c>
      <c r="B48" s="305"/>
      <c r="C48" s="305"/>
      <c r="D48" s="107" t="s">
        <v>7</v>
      </c>
      <c r="E48" s="108">
        <f>SUM(E49:E51)</f>
        <v>1135723.72</v>
      </c>
      <c r="F48" s="108">
        <f>SUM(F49:F51)</f>
        <v>2172859</v>
      </c>
      <c r="G48" s="318">
        <f>G51+G50+G49</f>
        <v>2639622</v>
      </c>
      <c r="H48" s="318"/>
      <c r="I48" s="318">
        <f>SUM(I49:J51)</f>
        <v>2666603</v>
      </c>
      <c r="J48" s="318"/>
      <c r="K48" s="318">
        <f>SUM(K49:L51)</f>
        <v>2799935</v>
      </c>
      <c r="L48" s="318"/>
    </row>
    <row r="49" spans="1:12" ht="15" customHeight="1" x14ac:dyDescent="0.25">
      <c r="A49" s="307">
        <v>31</v>
      </c>
      <c r="B49" s="307"/>
      <c r="C49" s="307"/>
      <c r="D49" s="109" t="s">
        <v>8</v>
      </c>
      <c r="E49" s="110">
        <v>656040</v>
      </c>
      <c r="F49" s="110">
        <v>1210500</v>
      </c>
      <c r="G49" s="298">
        <v>1856681</v>
      </c>
      <c r="H49" s="298"/>
      <c r="I49" s="298">
        <v>1844515</v>
      </c>
      <c r="J49" s="298"/>
      <c r="K49" s="298">
        <v>1936741</v>
      </c>
      <c r="L49" s="298"/>
    </row>
    <row r="50" spans="1:12" ht="15" customHeight="1" x14ac:dyDescent="0.25">
      <c r="A50" s="307">
        <v>32</v>
      </c>
      <c r="B50" s="307"/>
      <c r="C50" s="307"/>
      <c r="D50" s="109" t="s">
        <v>16</v>
      </c>
      <c r="E50" s="110">
        <v>477775.72</v>
      </c>
      <c r="F50" s="110">
        <v>960259</v>
      </c>
      <c r="G50" s="298">
        <v>775942</v>
      </c>
      <c r="H50" s="298"/>
      <c r="I50" s="298">
        <v>814739</v>
      </c>
      <c r="J50" s="298"/>
      <c r="K50" s="298">
        <v>855476</v>
      </c>
      <c r="L50" s="298"/>
    </row>
    <row r="51" spans="1:12" ht="15" customHeight="1" x14ac:dyDescent="0.25">
      <c r="A51" s="291">
        <v>34</v>
      </c>
      <c r="B51" s="292"/>
      <c r="C51" s="293"/>
      <c r="D51" s="109" t="s">
        <v>51</v>
      </c>
      <c r="E51" s="110">
        <v>1908</v>
      </c>
      <c r="F51" s="110">
        <v>2100</v>
      </c>
      <c r="G51" s="298">
        <v>6999</v>
      </c>
      <c r="H51" s="298"/>
      <c r="I51" s="298">
        <v>7349</v>
      </c>
      <c r="J51" s="298"/>
      <c r="K51" s="298">
        <v>7718</v>
      </c>
      <c r="L51" s="298"/>
    </row>
    <row r="52" spans="1:12" ht="15.75" customHeight="1" x14ac:dyDescent="0.25">
      <c r="A52" s="305">
        <v>4</v>
      </c>
      <c r="B52" s="305"/>
      <c r="C52" s="305"/>
      <c r="D52" s="107" t="s">
        <v>9</v>
      </c>
      <c r="E52" s="108">
        <f>SUM(E53)</f>
        <v>1352.77</v>
      </c>
      <c r="F52" s="108">
        <f>SUM(F53)</f>
        <v>10000</v>
      </c>
      <c r="G52" s="318">
        <f>SUM(G53)</f>
        <v>35184</v>
      </c>
      <c r="H52" s="318"/>
      <c r="I52" s="318">
        <f>SUM(I53)</f>
        <v>36945</v>
      </c>
      <c r="J52" s="318"/>
      <c r="K52" s="318">
        <f>SUM(K53)</f>
        <v>38792</v>
      </c>
      <c r="L52" s="318"/>
    </row>
    <row r="53" spans="1:12" ht="15" customHeight="1" x14ac:dyDescent="0.25">
      <c r="A53" s="307">
        <v>42</v>
      </c>
      <c r="B53" s="307"/>
      <c r="C53" s="307"/>
      <c r="D53" s="109" t="s">
        <v>22</v>
      </c>
      <c r="E53" s="110">
        <v>1352.77</v>
      </c>
      <c r="F53" s="110">
        <v>10000</v>
      </c>
      <c r="G53" s="298">
        <v>35184</v>
      </c>
      <c r="H53" s="298"/>
      <c r="I53" s="298">
        <v>36945</v>
      </c>
      <c r="J53" s="298"/>
      <c r="K53" s="298">
        <v>38792</v>
      </c>
      <c r="L53" s="298"/>
    </row>
    <row r="54" spans="1:12" ht="15" customHeight="1" x14ac:dyDescent="0.25">
      <c r="A54" s="111">
        <v>45</v>
      </c>
      <c r="B54" s="292"/>
      <c r="C54" s="293"/>
      <c r="D54" s="109" t="s">
        <v>52</v>
      </c>
      <c r="E54" s="110">
        <v>0</v>
      </c>
      <c r="F54" s="110">
        <v>0</v>
      </c>
      <c r="G54" s="298">
        <v>0</v>
      </c>
      <c r="H54" s="298"/>
      <c r="I54" s="298">
        <v>0</v>
      </c>
      <c r="J54" s="298"/>
      <c r="K54" s="298">
        <v>0</v>
      </c>
      <c r="L54" s="298"/>
    </row>
    <row r="55" spans="1:12" ht="15" customHeight="1" x14ac:dyDescent="0.25">
      <c r="A55" s="315" t="s">
        <v>78</v>
      </c>
      <c r="B55" s="316"/>
      <c r="C55" s="317"/>
      <c r="D55" s="105" t="s">
        <v>77</v>
      </c>
      <c r="E55" s="106">
        <v>9704</v>
      </c>
      <c r="F55" s="106">
        <f>SUM(F56)</f>
        <v>0</v>
      </c>
      <c r="G55" s="296">
        <v>0</v>
      </c>
      <c r="H55" s="297"/>
      <c r="I55" s="296">
        <v>0</v>
      </c>
      <c r="J55" s="297"/>
      <c r="K55" s="296">
        <v>0</v>
      </c>
      <c r="L55" s="297"/>
    </row>
    <row r="56" spans="1:12" ht="15" customHeight="1" x14ac:dyDescent="0.25">
      <c r="A56" s="312">
        <v>3</v>
      </c>
      <c r="B56" s="313"/>
      <c r="C56" s="314"/>
      <c r="D56" s="107" t="s">
        <v>7</v>
      </c>
      <c r="E56" s="108">
        <f>SUM(E57:E58)</f>
        <v>9704.19</v>
      </c>
      <c r="F56" s="108">
        <f>SUM(F57:F58)</f>
        <v>0</v>
      </c>
      <c r="G56" s="235">
        <v>0</v>
      </c>
      <c r="H56" s="236"/>
      <c r="I56" s="235">
        <v>0</v>
      </c>
      <c r="J56" s="236"/>
      <c r="K56" s="235">
        <v>0</v>
      </c>
      <c r="L56" s="236"/>
    </row>
    <row r="57" spans="1:12" ht="15" customHeight="1" x14ac:dyDescent="0.25">
      <c r="A57" s="291">
        <v>31</v>
      </c>
      <c r="B57" s="292"/>
      <c r="C57" s="293"/>
      <c r="D57" s="109" t="s">
        <v>79</v>
      </c>
      <c r="E57" s="110">
        <v>9656.19</v>
      </c>
      <c r="F57" s="110">
        <v>0</v>
      </c>
      <c r="G57" s="235">
        <v>0</v>
      </c>
      <c r="H57" s="236"/>
      <c r="I57" s="235">
        <v>0</v>
      </c>
      <c r="J57" s="236"/>
      <c r="K57" s="235">
        <v>0</v>
      </c>
      <c r="L57" s="236"/>
    </row>
    <row r="58" spans="1:12" ht="15" customHeight="1" x14ac:dyDescent="0.25">
      <c r="A58" s="321">
        <v>32</v>
      </c>
      <c r="B58" s="322"/>
      <c r="C58" s="323"/>
      <c r="D58" s="109" t="s">
        <v>16</v>
      </c>
      <c r="E58" s="110">
        <v>48</v>
      </c>
      <c r="F58" s="110">
        <v>0</v>
      </c>
      <c r="G58" s="235">
        <v>0</v>
      </c>
      <c r="H58" s="236"/>
      <c r="I58" s="235">
        <v>0</v>
      </c>
      <c r="J58" s="236"/>
      <c r="K58" s="235">
        <v>0</v>
      </c>
      <c r="L58" s="236"/>
    </row>
    <row r="59" spans="1:12" s="102" customFormat="1" ht="15" customHeight="1" x14ac:dyDescent="0.25">
      <c r="A59" s="305" t="s">
        <v>53</v>
      </c>
      <c r="B59" s="305"/>
      <c r="C59" s="305"/>
      <c r="D59" s="107" t="s">
        <v>54</v>
      </c>
      <c r="E59" s="108"/>
      <c r="F59" s="108">
        <v>5000</v>
      </c>
      <c r="G59" s="298">
        <v>0</v>
      </c>
      <c r="H59" s="298"/>
      <c r="I59" s="298">
        <v>0</v>
      </c>
      <c r="J59" s="298"/>
      <c r="K59" s="298">
        <v>0</v>
      </c>
      <c r="L59" s="298"/>
    </row>
    <row r="60" spans="1:12" ht="16.5" customHeight="1" x14ac:dyDescent="0.25">
      <c r="A60" s="306" t="s">
        <v>219</v>
      </c>
      <c r="B60" s="306"/>
      <c r="C60" s="306"/>
      <c r="D60" s="105" t="s">
        <v>55</v>
      </c>
      <c r="E60" s="106"/>
      <c r="F60" s="106">
        <f>SUM(F62)</f>
        <v>5000</v>
      </c>
      <c r="G60" s="311">
        <v>0</v>
      </c>
      <c r="H60" s="311"/>
      <c r="I60" s="311">
        <v>0</v>
      </c>
      <c r="J60" s="311"/>
      <c r="K60" s="311">
        <v>0</v>
      </c>
      <c r="L60" s="311"/>
    </row>
    <row r="61" spans="1:12" ht="13.5" customHeight="1" x14ac:dyDescent="0.25">
      <c r="A61" s="307">
        <v>4</v>
      </c>
      <c r="B61" s="307"/>
      <c r="C61" s="307"/>
      <c r="D61" s="109" t="s">
        <v>9</v>
      </c>
      <c r="E61" s="110"/>
      <c r="F61" s="110">
        <v>0</v>
      </c>
      <c r="G61" s="298">
        <v>0</v>
      </c>
      <c r="H61" s="298"/>
      <c r="I61" s="298">
        <v>0</v>
      </c>
      <c r="J61" s="298"/>
      <c r="K61" s="298">
        <v>0</v>
      </c>
      <c r="L61" s="298"/>
    </row>
    <row r="62" spans="1:12" ht="16.5" customHeight="1" x14ac:dyDescent="0.25">
      <c r="A62" s="307">
        <v>42</v>
      </c>
      <c r="B62" s="307"/>
      <c r="C62" s="307"/>
      <c r="D62" s="109" t="s">
        <v>22</v>
      </c>
      <c r="E62" s="110"/>
      <c r="F62" s="110">
        <v>5000</v>
      </c>
      <c r="G62" s="298">
        <v>0</v>
      </c>
      <c r="H62" s="298"/>
      <c r="I62" s="298">
        <v>0</v>
      </c>
      <c r="J62" s="298"/>
      <c r="K62" s="298">
        <v>0</v>
      </c>
      <c r="L62" s="298"/>
    </row>
    <row r="63" spans="1:12" ht="30" customHeight="1" x14ac:dyDescent="0.25"/>
    <row r="64" spans="1:12" x14ac:dyDescent="0.25">
      <c r="A64" s="289" t="s">
        <v>221</v>
      </c>
      <c r="B64" s="289"/>
      <c r="C64" s="289"/>
      <c r="D64" s="289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289" t="s">
        <v>222</v>
      </c>
      <c r="B65" s="289"/>
      <c r="C65" s="289"/>
      <c r="D65" s="289"/>
      <c r="G65" s="303"/>
      <c r="H65" s="303"/>
      <c r="I65" s="303"/>
      <c r="J65" s="303"/>
      <c r="K65" s="303"/>
      <c r="L65" s="303"/>
    </row>
    <row r="66" spans="1:12" x14ac:dyDescent="0.25">
      <c r="E66" s="320"/>
      <c r="F66" s="320"/>
      <c r="G66" s="304"/>
      <c r="H66" s="304"/>
      <c r="I66" s="304"/>
      <c r="J66" s="304"/>
      <c r="K66" s="304"/>
      <c r="L66" s="304"/>
    </row>
    <row r="67" spans="1:12" x14ac:dyDescent="0.25">
      <c r="A67" s="289" t="s">
        <v>224</v>
      </c>
      <c r="B67" s="289"/>
      <c r="C67" s="289"/>
    </row>
  </sheetData>
  <mergeCells count="236">
    <mergeCell ref="G45:H45"/>
    <mergeCell ref="G46:H46"/>
    <mergeCell ref="I44:J44"/>
    <mergeCell ref="I45:J45"/>
    <mergeCell ref="I46:J46"/>
    <mergeCell ref="K44:L44"/>
    <mergeCell ref="K45:L45"/>
    <mergeCell ref="K46:L46"/>
    <mergeCell ref="A2:L2"/>
    <mergeCell ref="A3:L3"/>
    <mergeCell ref="A44:C44"/>
    <mergeCell ref="G44:H44"/>
    <mergeCell ref="I16:J16"/>
    <mergeCell ref="I17:J17"/>
    <mergeCell ref="I25:J25"/>
    <mergeCell ref="I18:J18"/>
    <mergeCell ref="I19:J19"/>
    <mergeCell ref="I27:J27"/>
    <mergeCell ref="K5:L5"/>
    <mergeCell ref="G6:H6"/>
    <mergeCell ref="G7:H7"/>
    <mergeCell ref="G18:H18"/>
    <mergeCell ref="G19:H19"/>
    <mergeCell ref="G21:H21"/>
    <mergeCell ref="K59:L59"/>
    <mergeCell ref="K51:L51"/>
    <mergeCell ref="K52:L52"/>
    <mergeCell ref="K53:L53"/>
    <mergeCell ref="I60:J60"/>
    <mergeCell ref="K61:L61"/>
    <mergeCell ref="I50:J50"/>
    <mergeCell ref="I51:J51"/>
    <mergeCell ref="I52:J52"/>
    <mergeCell ref="I53:J53"/>
    <mergeCell ref="K54:L54"/>
    <mergeCell ref="K60:L60"/>
    <mergeCell ref="K47:L47"/>
    <mergeCell ref="K48:L48"/>
    <mergeCell ref="K49:L49"/>
    <mergeCell ref="K50:L50"/>
    <mergeCell ref="I58:J58"/>
    <mergeCell ref="I47:J47"/>
    <mergeCell ref="I48:J48"/>
    <mergeCell ref="I49:J49"/>
    <mergeCell ref="K55:L55"/>
    <mergeCell ref="K56:L56"/>
    <mergeCell ref="K57:L57"/>
    <mergeCell ref="K58:L58"/>
    <mergeCell ref="I62:J62"/>
    <mergeCell ref="I41:J41"/>
    <mergeCell ref="I42:J42"/>
    <mergeCell ref="I43:J43"/>
    <mergeCell ref="I33:J33"/>
    <mergeCell ref="I34:J34"/>
    <mergeCell ref="I35:J35"/>
    <mergeCell ref="I36:J36"/>
    <mergeCell ref="I39:J39"/>
    <mergeCell ref="I40:J40"/>
    <mergeCell ref="I54:J54"/>
    <mergeCell ref="I59:J59"/>
    <mergeCell ref="I61:J61"/>
    <mergeCell ref="K62:L62"/>
    <mergeCell ref="G39:H39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32:L32"/>
    <mergeCell ref="K40:L40"/>
    <mergeCell ref="K41:L41"/>
    <mergeCell ref="K42:L42"/>
    <mergeCell ref="K43:L43"/>
    <mergeCell ref="K33:L33"/>
    <mergeCell ref="K34:L34"/>
    <mergeCell ref="K35:L35"/>
    <mergeCell ref="K36:L36"/>
    <mergeCell ref="K39:L39"/>
    <mergeCell ref="I13:J13"/>
    <mergeCell ref="I14:J14"/>
    <mergeCell ref="I15:J15"/>
    <mergeCell ref="G52:H52"/>
    <mergeCell ref="G53:H53"/>
    <mergeCell ref="G54:H54"/>
    <mergeCell ref="G47:H47"/>
    <mergeCell ref="G5:H5"/>
    <mergeCell ref="I5:J5"/>
    <mergeCell ref="G31:H31"/>
    <mergeCell ref="G32:H32"/>
    <mergeCell ref="G24:H24"/>
    <mergeCell ref="G25:H25"/>
    <mergeCell ref="G26:H26"/>
    <mergeCell ref="G27:H27"/>
    <mergeCell ref="G28:H28"/>
    <mergeCell ref="I22:J22"/>
    <mergeCell ref="I23:J23"/>
    <mergeCell ref="I32:J32"/>
    <mergeCell ref="I24:J24"/>
    <mergeCell ref="G40:H40"/>
    <mergeCell ref="G41:H41"/>
    <mergeCell ref="G8:H8"/>
    <mergeCell ref="G9:H9"/>
    <mergeCell ref="I10:J10"/>
    <mergeCell ref="I11:J11"/>
    <mergeCell ref="I12:J12"/>
    <mergeCell ref="I6:J6"/>
    <mergeCell ref="I7:J7"/>
    <mergeCell ref="I8:J8"/>
    <mergeCell ref="I9:J9"/>
    <mergeCell ref="K20:L20"/>
    <mergeCell ref="I21:J21"/>
    <mergeCell ref="K23:L23"/>
    <mergeCell ref="I29:J29"/>
    <mergeCell ref="I30:J30"/>
    <mergeCell ref="K22:L22"/>
    <mergeCell ref="I20:J20"/>
    <mergeCell ref="K15:L15"/>
    <mergeCell ref="K16:L16"/>
    <mergeCell ref="K17:L17"/>
    <mergeCell ref="K18:L18"/>
    <mergeCell ref="K19:L19"/>
    <mergeCell ref="K21:L21"/>
    <mergeCell ref="I31:J31"/>
    <mergeCell ref="K26:L26"/>
    <mergeCell ref="K27:L27"/>
    <mergeCell ref="K28:L28"/>
    <mergeCell ref="K29:L29"/>
    <mergeCell ref="K30:L30"/>
    <mergeCell ref="K31:L31"/>
    <mergeCell ref="K24:L24"/>
    <mergeCell ref="K25:L25"/>
    <mergeCell ref="I28:J28"/>
    <mergeCell ref="I26:J26"/>
    <mergeCell ref="G10:H10"/>
    <mergeCell ref="G11:H11"/>
    <mergeCell ref="G12:H12"/>
    <mergeCell ref="G23:H23"/>
    <mergeCell ref="G29:H29"/>
    <mergeCell ref="G30:H30"/>
    <mergeCell ref="G37:H37"/>
    <mergeCell ref="G35:H35"/>
    <mergeCell ref="G36:H36"/>
    <mergeCell ref="G33:H33"/>
    <mergeCell ref="G34:H34"/>
    <mergeCell ref="G20:H20"/>
    <mergeCell ref="G22:H22"/>
    <mergeCell ref="G13:H13"/>
    <mergeCell ref="G14:H14"/>
    <mergeCell ref="G15:H15"/>
    <mergeCell ref="G16:H16"/>
    <mergeCell ref="G17:H17"/>
    <mergeCell ref="A28:C28"/>
    <mergeCell ref="A31:C31"/>
    <mergeCell ref="A32:C32"/>
    <mergeCell ref="A30:C30"/>
    <mergeCell ref="E66:F66"/>
    <mergeCell ref="B54:C54"/>
    <mergeCell ref="A43:C43"/>
    <mergeCell ref="A51:C51"/>
    <mergeCell ref="A60:C60"/>
    <mergeCell ref="A61:C61"/>
    <mergeCell ref="A62:C62"/>
    <mergeCell ref="A59:C59"/>
    <mergeCell ref="A49:C49"/>
    <mergeCell ref="A50:C50"/>
    <mergeCell ref="A52:C52"/>
    <mergeCell ref="A53:C53"/>
    <mergeCell ref="A58:C58"/>
    <mergeCell ref="A56:C56"/>
    <mergeCell ref="A48:C48"/>
    <mergeCell ref="A55:C55"/>
    <mergeCell ref="A57:C57"/>
    <mergeCell ref="A21:C21"/>
    <mergeCell ref="A40:C40"/>
    <mergeCell ref="G60:H60"/>
    <mergeCell ref="A47:C47"/>
    <mergeCell ref="A42:C42"/>
    <mergeCell ref="A41:C41"/>
    <mergeCell ref="A33:C33"/>
    <mergeCell ref="A34:C34"/>
    <mergeCell ref="A35:C35"/>
    <mergeCell ref="A36:C36"/>
    <mergeCell ref="A39:C39"/>
    <mergeCell ref="A37:C37"/>
    <mergeCell ref="G48:H48"/>
    <mergeCell ref="G49:H49"/>
    <mergeCell ref="G42:H42"/>
    <mergeCell ref="G43:H43"/>
    <mergeCell ref="G50:H50"/>
    <mergeCell ref="G51:H51"/>
    <mergeCell ref="A22:C22"/>
    <mergeCell ref="A23:C23"/>
    <mergeCell ref="A24:C24"/>
    <mergeCell ref="A25:C25"/>
    <mergeCell ref="A26:C26"/>
    <mergeCell ref="A27:C27"/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7:C67"/>
    <mergeCell ref="J1:L1"/>
    <mergeCell ref="A64:D64"/>
    <mergeCell ref="A65:D65"/>
    <mergeCell ref="I37:J37"/>
    <mergeCell ref="K37:L37"/>
    <mergeCell ref="A38:C38"/>
    <mergeCell ref="G38:H38"/>
    <mergeCell ref="I38:J38"/>
    <mergeCell ref="K38:L38"/>
    <mergeCell ref="G55:H55"/>
    <mergeCell ref="G56:H56"/>
    <mergeCell ref="G57:H57"/>
    <mergeCell ref="G58:H58"/>
    <mergeCell ref="I55:J55"/>
    <mergeCell ref="I56:J56"/>
    <mergeCell ref="I57:J57"/>
    <mergeCell ref="G61:H61"/>
    <mergeCell ref="G62:H62"/>
    <mergeCell ref="G59:H59"/>
    <mergeCell ref="A6:C6"/>
    <mergeCell ref="A5:C5"/>
    <mergeCell ref="A7:B7"/>
    <mergeCell ref="G65:L66"/>
  </mergeCells>
  <phoneticPr fontId="1" type="noConversion"/>
  <pageMargins left="0.7" right="0.7" top="0.75" bottom="0.75" header="0.3" footer="0.3"/>
  <pageSetup paperSize="9" scale="61" fitToHeight="0" orientation="landscape" r:id="rId1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rashoda-EKOM</vt:lpstr>
      <vt:lpstr>Račun prihoda i rashoda-IZVORI</vt:lpstr>
      <vt:lpstr>Rashodi prema funkcijskoj kl</vt:lpstr>
      <vt:lpstr>POSEBNI DIO</vt:lpstr>
      <vt:lpstr>' Račun prihoda i rashoda-EKOM'!Podrucje_ispisa</vt:lpstr>
      <vt:lpstr>'POSEBNI DIO'!Podrucje_ispisa</vt:lpstr>
      <vt:lpstr>'Račun prihoda i rashoda-IZVORI'!Podrucje_ispisa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DZSINO Petrinja</cp:lastModifiedBy>
  <cp:lastPrinted>2025-10-28T11:21:04Z</cp:lastPrinted>
  <dcterms:created xsi:type="dcterms:W3CDTF">2022-08-12T12:51:27Z</dcterms:created>
  <dcterms:modified xsi:type="dcterms:W3CDTF">2025-12-03T10:55:07Z</dcterms:modified>
</cp:coreProperties>
</file>